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328"/>
  <workbookPr filterPrivacy="1" codeName="ThisWorkbook"/>
  <xr:revisionPtr revIDLastSave="0" documentId="13_ncr:1_{E53D8699-7DD0-445A-9FFF-0D657B7F0C05}" xr6:coauthVersionLast="47" xr6:coauthVersionMax="47" xr10:uidLastSave="{00000000-0000-0000-0000-000000000000}"/>
  <bookViews>
    <workbookView xWindow="3270" yWindow="1700" windowWidth="26120" windowHeight="16490" activeTab="2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Model!$A$2:$CS$60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I28" i="6" l="1"/>
  <c r="DJ28" i="6" s="1"/>
  <c r="DK28" i="6" s="1"/>
  <c r="DL28" i="6" s="1"/>
  <c r="DM28" i="6" s="1"/>
  <c r="DH29" i="6"/>
  <c r="DI29" i="6" s="1"/>
  <c r="DJ29" i="6" s="1"/>
  <c r="DK29" i="6" s="1"/>
  <c r="DL29" i="6" s="1"/>
  <c r="DM29" i="6" s="1"/>
  <c r="DD50" i="6"/>
  <c r="DE50" i="6" s="1"/>
  <c r="DF50" i="6" s="1"/>
  <c r="DG50" i="6" s="1"/>
  <c r="DH50" i="6" s="1"/>
  <c r="DI50" i="6" s="1"/>
  <c r="DJ50" i="6" s="1"/>
  <c r="DK50" i="6" s="1"/>
  <c r="DL50" i="6" s="1"/>
  <c r="DM50" i="6" s="1"/>
  <c r="DE49" i="6"/>
  <c r="DF49" i="6" s="1"/>
  <c r="DG49" i="6" s="1"/>
  <c r="DH49" i="6" s="1"/>
  <c r="DI49" i="6" s="1"/>
  <c r="DJ49" i="6" s="1"/>
  <c r="DK49" i="6" s="1"/>
  <c r="DL49" i="6" s="1"/>
  <c r="DM49" i="6" s="1"/>
  <c r="DD49" i="6"/>
  <c r="DF47" i="6"/>
  <c r="DE47" i="6"/>
  <c r="DD47" i="6"/>
  <c r="DE31" i="6"/>
  <c r="DF31" i="6" s="1"/>
  <c r="DG31" i="6" s="1"/>
  <c r="DH31" i="6" s="1"/>
  <c r="DD31" i="6"/>
  <c r="DH28" i="6"/>
  <c r="DG28" i="6"/>
  <c r="DF28" i="6"/>
  <c r="DE28" i="6"/>
  <c r="DD28" i="6"/>
  <c r="DE27" i="6"/>
  <c r="DF27" i="6" s="1"/>
  <c r="DG27" i="6" s="1"/>
  <c r="DH27" i="6" s="1"/>
  <c r="DI27" i="6" s="1"/>
  <c r="DJ27" i="6" s="1"/>
  <c r="DK27" i="6" s="1"/>
  <c r="DL27" i="6" s="1"/>
  <c r="DM27" i="6" s="1"/>
  <c r="DD27" i="6"/>
  <c r="DC27" i="6"/>
  <c r="DD26" i="6"/>
  <c r="DC26" i="6"/>
  <c r="DC12" i="6"/>
  <c r="DC11" i="6"/>
  <c r="DC10" i="6"/>
  <c r="DB9" i="6"/>
  <c r="DB8" i="6"/>
  <c r="DB7" i="6"/>
  <c r="DB6" i="6"/>
  <c r="DB5" i="6"/>
  <c r="DB4" i="6"/>
  <c r="DB3" i="6"/>
  <c r="DC9" i="6"/>
  <c r="DC8" i="6"/>
  <c r="DC7" i="6"/>
  <c r="DC6" i="6"/>
  <c r="DC5" i="6"/>
  <c r="DC4" i="6"/>
  <c r="BV12" i="6"/>
  <c r="BV11" i="6"/>
  <c r="BV10" i="6"/>
  <c r="BV9" i="6"/>
  <c r="BV8" i="6"/>
  <c r="BV7" i="6"/>
  <c r="BV6" i="6"/>
  <c r="BV5" i="6"/>
  <c r="BV4" i="6"/>
  <c r="BV3" i="6" s="1"/>
  <c r="DC3" i="6" s="1"/>
  <c r="BV31" i="6"/>
  <c r="BV28" i="6"/>
  <c r="BQ12" i="6"/>
  <c r="BP12" i="6"/>
  <c r="BO12" i="6"/>
  <c r="BQ11" i="6"/>
  <c r="BP11" i="6"/>
  <c r="BO11" i="6"/>
  <c r="BQ10" i="6"/>
  <c r="BP10" i="6"/>
  <c r="BO10" i="6"/>
  <c r="BT12" i="6"/>
  <c r="BS12" i="6"/>
  <c r="BR12" i="6"/>
  <c r="BU12" i="6"/>
  <c r="BU9" i="6"/>
  <c r="BT9" i="6"/>
  <c r="BS9" i="6"/>
  <c r="BR9" i="6"/>
  <c r="BQ9" i="6"/>
  <c r="BP9" i="6"/>
  <c r="BO9" i="6"/>
  <c r="BN9" i="6"/>
  <c r="BM9" i="6"/>
  <c r="BL9" i="6"/>
  <c r="BU8" i="6"/>
  <c r="BT8" i="6"/>
  <c r="BS8" i="6"/>
  <c r="BR8" i="6"/>
  <c r="BQ8" i="6"/>
  <c r="BP8" i="6"/>
  <c r="BO8" i="6"/>
  <c r="BN8" i="6"/>
  <c r="BM8" i="6"/>
  <c r="BL8" i="6"/>
  <c r="BU7" i="6"/>
  <c r="BT7" i="6"/>
  <c r="BS7" i="6"/>
  <c r="BR7" i="6"/>
  <c r="BQ7" i="6"/>
  <c r="BP7" i="6"/>
  <c r="BO7" i="6"/>
  <c r="BN7" i="6"/>
  <c r="BM7" i="6"/>
  <c r="BL7" i="6"/>
  <c r="BK9" i="6"/>
  <c r="BK8" i="6"/>
  <c r="BK7" i="6"/>
  <c r="BM4" i="6"/>
  <c r="BL4" i="6"/>
  <c r="BK4" i="6"/>
  <c r="BK6" i="6"/>
  <c r="BL6" i="6"/>
  <c r="BM6" i="6"/>
  <c r="BN6" i="6"/>
  <c r="BN5" i="6"/>
  <c r="BN4" i="6"/>
  <c r="BO6" i="6"/>
  <c r="BO5" i="6"/>
  <c r="BO4" i="6"/>
  <c r="BP4" i="6"/>
  <c r="BP5" i="6"/>
  <c r="BP6" i="6"/>
  <c r="BQ6" i="6"/>
  <c r="BQ5" i="6"/>
  <c r="BQ4" i="6"/>
  <c r="BR6" i="6"/>
  <c r="BR5" i="6"/>
  <c r="BR4" i="6"/>
  <c r="BR11" i="6" s="1"/>
  <c r="BS6" i="6"/>
  <c r="BS5" i="6"/>
  <c r="BS4" i="6"/>
  <c r="BS11" i="6" s="1"/>
  <c r="BT5" i="6"/>
  <c r="BT6" i="6"/>
  <c r="BT4" i="6"/>
  <c r="BT11" i="6" s="1"/>
  <c r="BU6" i="6"/>
  <c r="BU5" i="6"/>
  <c r="BU4" i="6"/>
  <c r="BU11" i="6" s="1"/>
  <c r="BU3" i="6" l="1"/>
  <c r="BT3" i="6"/>
  <c r="BQ3" i="6"/>
  <c r="BU10" i="6" s="1"/>
  <c r="BK3" i="6"/>
  <c r="BS3" i="6"/>
  <c r="BL3" i="6"/>
  <c r="BO3" i="6"/>
  <c r="BN3" i="6"/>
  <c r="BM3" i="6"/>
  <c r="BR3" i="6"/>
  <c r="BR10" i="6" s="1"/>
  <c r="BP3" i="6"/>
  <c r="BT10" i="6" l="1"/>
  <c r="BS10" i="6"/>
  <c r="BT55" i="6" l="1"/>
  <c r="BV27" i="6"/>
  <c r="BT40" i="6"/>
  <c r="BT39" i="6"/>
  <c r="BT22" i="6"/>
  <c r="BT24" i="6" s="1"/>
  <c r="BU65" i="6"/>
  <c r="BT65" i="6"/>
  <c r="BU64" i="6"/>
  <c r="BT64" i="6"/>
  <c r="BU55" i="6"/>
  <c r="BU51" i="6"/>
  <c r="BT51" i="6"/>
  <c r="BU40" i="6"/>
  <c r="BU39" i="6"/>
  <c r="BU22" i="6"/>
  <c r="BU24" i="6" s="1"/>
  <c r="BU44" i="6" l="1"/>
  <c r="BU46" i="6" l="1"/>
  <c r="BU52" i="6" s="1"/>
  <c r="BU56" i="6" s="1"/>
  <c r="BU69" i="6"/>
  <c r="BU68" i="6"/>
  <c r="BU70" i="6" l="1"/>
  <c r="BU58" i="6"/>
  <c r="BU59" i="6" s="1"/>
  <c r="BS40" i="6" l="1"/>
  <c r="BS65" i="6"/>
  <c r="BS22" i="6"/>
  <c r="BS24" i="6" s="1"/>
  <c r="BS89" i="6"/>
  <c r="BR89" i="6"/>
  <c r="BR88" i="6"/>
  <c r="BS88" i="6"/>
  <c r="BS90" i="6"/>
  <c r="BR90" i="6"/>
  <c r="BS91" i="6"/>
  <c r="BR91" i="6"/>
  <c r="BR81" i="6"/>
  <c r="BR80" i="6"/>
  <c r="BR79" i="6"/>
  <c r="BS82" i="6"/>
  <c r="BS79" i="6"/>
  <c r="BS81" i="6"/>
  <c r="BS51" i="6"/>
  <c r="BS64" i="6"/>
  <c r="BR64" i="6"/>
  <c r="BR40" i="6"/>
  <c r="BR22" i="6"/>
  <c r="BV22" i="6" s="1"/>
  <c r="DC23" i="6"/>
  <c r="DC21" i="6"/>
  <c r="DC20" i="6"/>
  <c r="DC19" i="6"/>
  <c r="DC18" i="6"/>
  <c r="DC17" i="6"/>
  <c r="DC16" i="6"/>
  <c r="DC15" i="6"/>
  <c r="DC14" i="6"/>
  <c r="C23" i="31"/>
  <c r="C22" i="31"/>
  <c r="BP120" i="6"/>
  <c r="BQ120" i="6" s="1"/>
  <c r="BQ90" i="6"/>
  <c r="BQ91" i="6"/>
  <c r="BQ89" i="6"/>
  <c r="BQ88" i="6"/>
  <c r="BQ79" i="6"/>
  <c r="BQ78" i="6" s="1"/>
  <c r="BQ81" i="6"/>
  <c r="BQ80" i="6"/>
  <c r="BQ74" i="6"/>
  <c r="BQ40" i="6"/>
  <c r="BQ39" i="6" s="1"/>
  <c r="BQ22" i="6"/>
  <c r="BQ24" i="6" s="1"/>
  <c r="BU66" i="6" s="1"/>
  <c r="AT89" i="6"/>
  <c r="AT91" i="6"/>
  <c r="AT88" i="6"/>
  <c r="AT81" i="6"/>
  <c r="AT79" i="6"/>
  <c r="AT78" i="6" s="1"/>
  <c r="AT86" i="6"/>
  <c r="AR120" i="6"/>
  <c r="AS120" i="6" s="1"/>
  <c r="AT116" i="6"/>
  <c r="AU65" i="6"/>
  <c r="AW65" i="6"/>
  <c r="AX65" i="6"/>
  <c r="AY65" i="6"/>
  <c r="AZ65" i="6"/>
  <c r="AT51" i="6"/>
  <c r="AT52" i="6" s="1"/>
  <c r="AT56" i="6" s="1"/>
  <c r="AT74" i="6"/>
  <c r="AT73" i="6"/>
  <c r="AS91" i="6"/>
  <c r="AS89" i="6"/>
  <c r="AS88" i="6"/>
  <c r="AS79" i="6"/>
  <c r="AS81" i="6"/>
  <c r="AS55" i="6"/>
  <c r="AS51" i="6"/>
  <c r="AS74" i="6"/>
  <c r="AS73" i="6"/>
  <c r="AR28" i="6"/>
  <c r="AR34" i="6" s="1"/>
  <c r="AR88" i="6"/>
  <c r="AR91" i="6"/>
  <c r="AR89" i="6"/>
  <c r="AR79" i="6"/>
  <c r="AR81" i="6"/>
  <c r="AR117" i="6"/>
  <c r="AR115" i="6"/>
  <c r="AS115" i="6" s="1"/>
  <c r="AT115" i="6" s="1"/>
  <c r="AR114" i="6"/>
  <c r="AS114" i="6" s="1"/>
  <c r="AR109" i="6"/>
  <c r="AS109" i="6" s="1"/>
  <c r="AT109" i="6" s="1"/>
  <c r="AR108" i="6"/>
  <c r="AS108" i="6" s="1"/>
  <c r="AR105" i="6"/>
  <c r="AS105" i="6" s="1"/>
  <c r="AT105" i="6" s="1"/>
  <c r="AR104" i="6"/>
  <c r="AS104" i="6" s="1"/>
  <c r="AT104" i="6" s="1"/>
  <c r="AR103" i="6"/>
  <c r="AS103" i="6" s="1"/>
  <c r="AT103" i="6" s="1"/>
  <c r="AR101" i="6"/>
  <c r="AS101" i="6" s="1"/>
  <c r="AT101" i="6" s="1"/>
  <c r="AR102" i="6"/>
  <c r="AS102" i="6" s="1"/>
  <c r="AT102" i="6" s="1"/>
  <c r="AR100" i="6"/>
  <c r="AS100" i="6" s="1"/>
  <c r="AT100" i="6" s="1"/>
  <c r="AR99" i="6"/>
  <c r="AS99" i="6" s="1"/>
  <c r="AT99" i="6" s="1"/>
  <c r="AR98" i="6"/>
  <c r="AS98" i="6" s="1"/>
  <c r="AU64" i="6"/>
  <c r="AZ64" i="6"/>
  <c r="AY64" i="6"/>
  <c r="AX64" i="6"/>
  <c r="AW64" i="6"/>
  <c r="AR15" i="6"/>
  <c r="AR55" i="6"/>
  <c r="AR51" i="6"/>
  <c r="AR74" i="6"/>
  <c r="AR73" i="6"/>
  <c r="AQ91" i="6"/>
  <c r="AQ89" i="6"/>
  <c r="AQ88" i="6"/>
  <c r="AQ79" i="6"/>
  <c r="AQ78" i="6" s="1"/>
  <c r="AQ81" i="6"/>
  <c r="AQ118" i="6"/>
  <c r="AQ111" i="6"/>
  <c r="AQ112" i="6" s="1"/>
  <c r="AQ101" i="6"/>
  <c r="AQ106" i="6" s="1"/>
  <c r="AQ55" i="6"/>
  <c r="AQ51" i="6"/>
  <c r="AQ74" i="6"/>
  <c r="AQ73" i="6"/>
  <c r="AQ40" i="6"/>
  <c r="AQ22" i="6"/>
  <c r="AQ24" i="6" s="1"/>
  <c r="AX88" i="6"/>
  <c r="AX91" i="6"/>
  <c r="AX89" i="6"/>
  <c r="AX79" i="6"/>
  <c r="AX81" i="6"/>
  <c r="AX80" i="6"/>
  <c r="AV120" i="6"/>
  <c r="AW120" i="6" s="1"/>
  <c r="AX120" i="6" s="1"/>
  <c r="AX74" i="6"/>
  <c r="AX73" i="6"/>
  <c r="AW55" i="6"/>
  <c r="AW51" i="6"/>
  <c r="AW89" i="6"/>
  <c r="AW91" i="6"/>
  <c r="AW88" i="6"/>
  <c r="AW79" i="6"/>
  <c r="AW81" i="6"/>
  <c r="AW74" i="6"/>
  <c r="AW73" i="6"/>
  <c r="AV89" i="6"/>
  <c r="AV88" i="6"/>
  <c r="AV91" i="6"/>
  <c r="AV79" i="6"/>
  <c r="AV81" i="6"/>
  <c r="AV117" i="6"/>
  <c r="AW117" i="6" s="1"/>
  <c r="AV116" i="6"/>
  <c r="AW116" i="6" s="1"/>
  <c r="AX116" i="6" s="1"/>
  <c r="AV115" i="6"/>
  <c r="AW115" i="6" s="1"/>
  <c r="AX115" i="6" s="1"/>
  <c r="AV114" i="6"/>
  <c r="AW114" i="6" s="1"/>
  <c r="AX114" i="6" s="1"/>
  <c r="AV111" i="6"/>
  <c r="AW111" i="6" s="1"/>
  <c r="AX111" i="6" s="1"/>
  <c r="AV109" i="6"/>
  <c r="AW109" i="6" s="1"/>
  <c r="AX109" i="6" s="1"/>
  <c r="AV108" i="6"/>
  <c r="AW108" i="6" s="1"/>
  <c r="AV105" i="6"/>
  <c r="AW105" i="6" s="1"/>
  <c r="AX105" i="6" s="1"/>
  <c r="AV104" i="6"/>
  <c r="AW104" i="6" s="1"/>
  <c r="AX104" i="6" s="1"/>
  <c r="AV103" i="6"/>
  <c r="AW103" i="6" s="1"/>
  <c r="AX103" i="6" s="1"/>
  <c r="AV102" i="6"/>
  <c r="AW102" i="6" s="1"/>
  <c r="AX102" i="6" s="1"/>
  <c r="AV101" i="6"/>
  <c r="AW101" i="6" s="1"/>
  <c r="AX101" i="6" s="1"/>
  <c r="AV100" i="6"/>
  <c r="AW100" i="6" s="1"/>
  <c r="AX100" i="6" s="1"/>
  <c r="AV99" i="6"/>
  <c r="AW99" i="6" s="1"/>
  <c r="AX99" i="6" s="1"/>
  <c r="AV98" i="6"/>
  <c r="AW98" i="6" s="1"/>
  <c r="AX98" i="6" s="1"/>
  <c r="AV55" i="6"/>
  <c r="AV51" i="6"/>
  <c r="AV74" i="6"/>
  <c r="AV73" i="6"/>
  <c r="AU88" i="6"/>
  <c r="AU91" i="6"/>
  <c r="AU89" i="6"/>
  <c r="AU79" i="6"/>
  <c r="AU81" i="6"/>
  <c r="AU118" i="6"/>
  <c r="AU112" i="6"/>
  <c r="AU106" i="6"/>
  <c r="AU74" i="6"/>
  <c r="AU73" i="6"/>
  <c r="BB74" i="6"/>
  <c r="BB88" i="6"/>
  <c r="BB91" i="6"/>
  <c r="BB89" i="6"/>
  <c r="BB79" i="6"/>
  <c r="BB80" i="6"/>
  <c r="BB81" i="6"/>
  <c r="BB86" i="6"/>
  <c r="AZ120" i="6"/>
  <c r="BA120" i="6" s="1"/>
  <c r="AY118" i="6"/>
  <c r="BA88" i="6"/>
  <c r="BA91" i="6"/>
  <c r="BA89" i="6"/>
  <c r="BA82" i="6"/>
  <c r="BA81" i="6"/>
  <c r="BA79" i="6"/>
  <c r="BA74" i="6"/>
  <c r="AZ74" i="6"/>
  <c r="AZ88" i="6"/>
  <c r="AZ91" i="6"/>
  <c r="AZ89" i="6"/>
  <c r="AZ79" i="6"/>
  <c r="AZ81" i="6"/>
  <c r="AZ82" i="6"/>
  <c r="AZ116" i="6"/>
  <c r="BA116" i="6" s="1"/>
  <c r="BB116" i="6" s="1"/>
  <c r="AZ115" i="6"/>
  <c r="BA115" i="6" s="1"/>
  <c r="BB115" i="6" s="1"/>
  <c r="AZ114" i="6"/>
  <c r="BA114" i="6" s="1"/>
  <c r="AZ117" i="6"/>
  <c r="BA117" i="6" s="1"/>
  <c r="AZ109" i="6"/>
  <c r="BA109" i="6" s="1"/>
  <c r="BB109" i="6" s="1"/>
  <c r="AZ108" i="6"/>
  <c r="BA108" i="6" s="1"/>
  <c r="AZ105" i="6"/>
  <c r="BA105" i="6" s="1"/>
  <c r="BB105" i="6" s="1"/>
  <c r="AZ104" i="6"/>
  <c r="BA104" i="6" s="1"/>
  <c r="BB104" i="6" s="1"/>
  <c r="AZ103" i="6"/>
  <c r="BA103" i="6" s="1"/>
  <c r="BB103" i="6" s="1"/>
  <c r="AZ102" i="6"/>
  <c r="BA102" i="6" s="1"/>
  <c r="BB102" i="6" s="1"/>
  <c r="AZ101" i="6"/>
  <c r="BA101" i="6" s="1"/>
  <c r="BB101" i="6" s="1"/>
  <c r="AZ100" i="6"/>
  <c r="BA100" i="6" s="1"/>
  <c r="BB100" i="6" s="1"/>
  <c r="AZ99" i="6"/>
  <c r="BA99" i="6" s="1"/>
  <c r="BB99" i="6" s="1"/>
  <c r="AZ98" i="6"/>
  <c r="BA98" i="6" s="1"/>
  <c r="BB98" i="6" s="1"/>
  <c r="AY89" i="6"/>
  <c r="AY88" i="6"/>
  <c r="AY91" i="6"/>
  <c r="AY79" i="6"/>
  <c r="AY80" i="6"/>
  <c r="AY81" i="6"/>
  <c r="AY111" i="6"/>
  <c r="AY112" i="6" s="1"/>
  <c r="AY106" i="6"/>
  <c r="AU55" i="6"/>
  <c r="AU51" i="6"/>
  <c r="AY74" i="6"/>
  <c r="DA60" i="6"/>
  <c r="CZ60" i="6"/>
  <c r="CY60" i="6"/>
  <c r="DA57" i="6"/>
  <c r="CZ57" i="6"/>
  <c r="CY57" i="6"/>
  <c r="CY50" i="6"/>
  <c r="CY49" i="6"/>
  <c r="CY48" i="6"/>
  <c r="CY47" i="6"/>
  <c r="CZ50" i="6"/>
  <c r="CZ49" i="6"/>
  <c r="CZ48" i="6"/>
  <c r="CZ47" i="6"/>
  <c r="BF88" i="6"/>
  <c r="BF89" i="6"/>
  <c r="BF91" i="6"/>
  <c r="BF90" i="6"/>
  <c r="BF95" i="6"/>
  <c r="BF80" i="6"/>
  <c r="BF81" i="6"/>
  <c r="BF79" i="6"/>
  <c r="BD120" i="6"/>
  <c r="BE120" i="6" s="1"/>
  <c r="BF120" i="6" s="1"/>
  <c r="BF110" i="6"/>
  <c r="BF74" i="6"/>
  <c r="BE91" i="6"/>
  <c r="BE89" i="6"/>
  <c r="BE88" i="6"/>
  <c r="BE79" i="6"/>
  <c r="BE81" i="6"/>
  <c r="BD81" i="6"/>
  <c r="BE80" i="6"/>
  <c r="BE74" i="6"/>
  <c r="AQ95" i="6" l="1"/>
  <c r="AQ44" i="6"/>
  <c r="BR24" i="6"/>
  <c r="BV24" i="6" s="1"/>
  <c r="BR86" i="6"/>
  <c r="BS44" i="6"/>
  <c r="BS69" i="6" s="1"/>
  <c r="AW78" i="6"/>
  <c r="BA78" i="6"/>
  <c r="AY95" i="6"/>
  <c r="AS78" i="6"/>
  <c r="BR95" i="6"/>
  <c r="BS95" i="6"/>
  <c r="AW112" i="6"/>
  <c r="BS86" i="6"/>
  <c r="BS78" i="6"/>
  <c r="AR118" i="6"/>
  <c r="AX86" i="6"/>
  <c r="AV65" i="6"/>
  <c r="DC28" i="6"/>
  <c r="AX78" i="6"/>
  <c r="AV106" i="6"/>
  <c r="AZ95" i="6"/>
  <c r="AX108" i="6"/>
  <c r="AV64" i="6"/>
  <c r="BS68" i="6"/>
  <c r="BR78" i="6"/>
  <c r="AS106" i="6"/>
  <c r="AT98" i="6"/>
  <c r="AT106" i="6" s="1"/>
  <c r="AT58" i="6"/>
  <c r="AT70" i="6"/>
  <c r="AQ69" i="6"/>
  <c r="AQ68" i="6"/>
  <c r="AQ46" i="6"/>
  <c r="AQ67" i="6" s="1"/>
  <c r="AT108" i="6"/>
  <c r="AT114" i="6"/>
  <c r="AT118" i="6" s="1"/>
  <c r="AS118" i="6"/>
  <c r="AQ121" i="6"/>
  <c r="AY78" i="6"/>
  <c r="BA95" i="6"/>
  <c r="AY121" i="6"/>
  <c r="AQ62" i="6"/>
  <c r="AV118" i="6"/>
  <c r="BA86" i="6"/>
  <c r="AV78" i="6"/>
  <c r="AR86" i="6"/>
  <c r="AV112" i="6"/>
  <c r="BQ86" i="6"/>
  <c r="AR111" i="6"/>
  <c r="BB95" i="6"/>
  <c r="AU121" i="6"/>
  <c r="BQ95" i="6"/>
  <c r="AT95" i="6"/>
  <c r="AT120" i="6"/>
  <c r="AS95" i="6"/>
  <c r="AS86" i="6"/>
  <c r="AR95" i="6"/>
  <c r="AR78" i="6"/>
  <c r="AR106" i="6"/>
  <c r="AQ86" i="6"/>
  <c r="AX95" i="6"/>
  <c r="AX118" i="6"/>
  <c r="AX112" i="6"/>
  <c r="AX106" i="6"/>
  <c r="AW95" i="6"/>
  <c r="AW86" i="6"/>
  <c r="AW118" i="6"/>
  <c r="AW106" i="6"/>
  <c r="AV95" i="6"/>
  <c r="AV86" i="6"/>
  <c r="BB108" i="6"/>
  <c r="BA118" i="6"/>
  <c r="BB114" i="6"/>
  <c r="BB118" i="6" s="1"/>
  <c r="AZ111" i="6"/>
  <c r="BA111" i="6" s="1"/>
  <c r="BB111" i="6" s="1"/>
  <c r="AZ118" i="6"/>
  <c r="AZ86" i="6"/>
  <c r="BB120" i="6"/>
  <c r="AU95" i="6"/>
  <c r="AU78" i="6"/>
  <c r="AU86" i="6"/>
  <c r="BB78" i="6"/>
  <c r="BB106" i="6"/>
  <c r="BA106" i="6"/>
  <c r="AZ78" i="6"/>
  <c r="AZ106" i="6"/>
  <c r="AY86" i="6"/>
  <c r="BE95" i="6"/>
  <c r="AT59" i="6" l="1"/>
  <c r="AT97" i="6"/>
  <c r="AZ112" i="6"/>
  <c r="AS111" i="6"/>
  <c r="AR112" i="6"/>
  <c r="AR121" i="6" s="1"/>
  <c r="AV121" i="6"/>
  <c r="AQ52" i="6"/>
  <c r="AQ56" i="6" s="1"/>
  <c r="AQ70" i="6" s="1"/>
  <c r="AX121" i="6"/>
  <c r="AW121" i="6"/>
  <c r="AZ121" i="6"/>
  <c r="BB112" i="6"/>
  <c r="BB121" i="6" s="1"/>
  <c r="BA112" i="6"/>
  <c r="BA121" i="6" s="1"/>
  <c r="BD88" i="6"/>
  <c r="BD91" i="6"/>
  <c r="BD89" i="6"/>
  <c r="BD80" i="6"/>
  <c r="BD79" i="6"/>
  <c r="BD117" i="6"/>
  <c r="BE117" i="6" s="1"/>
  <c r="BF117" i="6" s="1"/>
  <c r="BD116" i="6"/>
  <c r="BE116" i="6" s="1"/>
  <c r="BF116" i="6" s="1"/>
  <c r="BD115" i="6"/>
  <c r="BE115" i="6" s="1"/>
  <c r="BF115" i="6" s="1"/>
  <c r="BD114" i="6"/>
  <c r="BE114" i="6" s="1"/>
  <c r="BF114" i="6" s="1"/>
  <c r="BD109" i="6"/>
  <c r="BE109" i="6" s="1"/>
  <c r="BF109" i="6" s="1"/>
  <c r="BD108" i="6"/>
  <c r="BE108" i="6" s="1"/>
  <c r="BF108" i="6" s="1"/>
  <c r="BD105" i="6"/>
  <c r="BE105" i="6" s="1"/>
  <c r="BF105" i="6" s="1"/>
  <c r="BD104" i="6"/>
  <c r="BE104" i="6" s="1"/>
  <c r="BF104" i="6" s="1"/>
  <c r="BD103" i="6"/>
  <c r="BE103" i="6" s="1"/>
  <c r="BF103" i="6" s="1"/>
  <c r="BD102" i="6"/>
  <c r="BE102" i="6" s="1"/>
  <c r="BF102" i="6" s="1"/>
  <c r="BD101" i="6"/>
  <c r="BE101" i="6" s="1"/>
  <c r="BF101" i="6" s="1"/>
  <c r="BD100" i="6"/>
  <c r="BE100" i="6" s="1"/>
  <c r="BF100" i="6" s="1"/>
  <c r="BD99" i="6"/>
  <c r="BE99" i="6" s="1"/>
  <c r="BF99" i="6" s="1"/>
  <c r="BD98" i="6"/>
  <c r="BE98" i="6" s="1"/>
  <c r="BD74" i="6"/>
  <c r="BC118" i="6"/>
  <c r="BC111" i="6"/>
  <c r="BC112" i="6" s="1"/>
  <c r="BC106" i="6"/>
  <c r="BC89" i="6"/>
  <c r="BC88" i="6"/>
  <c r="BC91" i="6"/>
  <c r="BC82" i="6"/>
  <c r="BC79" i="6"/>
  <c r="BC81" i="6"/>
  <c r="BF86" i="6"/>
  <c r="BE86" i="6"/>
  <c r="BF78" i="6"/>
  <c r="BE78" i="6"/>
  <c r="BC74" i="6"/>
  <c r="DB23" i="6"/>
  <c r="DA55" i="6"/>
  <c r="DA50" i="6"/>
  <c r="DA49" i="6"/>
  <c r="DA48" i="6"/>
  <c r="DA47" i="6"/>
  <c r="BJ88" i="6"/>
  <c r="BJ91" i="6"/>
  <c r="BJ90" i="6"/>
  <c r="BJ89" i="6"/>
  <c r="BJ80" i="6"/>
  <c r="BJ81" i="6"/>
  <c r="BJ79" i="6"/>
  <c r="BH120" i="6"/>
  <c r="BI120" i="6" s="1"/>
  <c r="BJ110" i="6"/>
  <c r="BJ74" i="6"/>
  <c r="BI74" i="6"/>
  <c r="BH117" i="6"/>
  <c r="BJ117" i="6" s="1"/>
  <c r="BH115" i="6"/>
  <c r="BI115" i="6" s="1"/>
  <c r="BJ115" i="6" s="1"/>
  <c r="BH114" i="6"/>
  <c r="BI114" i="6" s="1"/>
  <c r="BH109" i="6"/>
  <c r="BI109" i="6" s="1"/>
  <c r="BJ109" i="6" s="1"/>
  <c r="BH108" i="6"/>
  <c r="BI108" i="6" s="1"/>
  <c r="BJ108" i="6" s="1"/>
  <c r="BH105" i="6"/>
  <c r="BI105" i="6" s="1"/>
  <c r="BJ105" i="6" s="1"/>
  <c r="BH104" i="6"/>
  <c r="BI104" i="6" s="1"/>
  <c r="BJ104" i="6" s="1"/>
  <c r="BH103" i="6"/>
  <c r="BI103" i="6" s="1"/>
  <c r="BJ103" i="6" s="1"/>
  <c r="BH102" i="6"/>
  <c r="BI102" i="6" s="1"/>
  <c r="BJ102" i="6" s="1"/>
  <c r="BH101" i="6"/>
  <c r="BI101" i="6" s="1"/>
  <c r="BJ101" i="6" s="1"/>
  <c r="BH100" i="6"/>
  <c r="BI100" i="6" s="1"/>
  <c r="BJ100" i="6" s="1"/>
  <c r="BH99" i="6"/>
  <c r="BI99" i="6" s="1"/>
  <c r="BJ99" i="6" s="1"/>
  <c r="BH98" i="6"/>
  <c r="BH91" i="6"/>
  <c r="BH90" i="6"/>
  <c r="BH89" i="6"/>
  <c r="BH88" i="6"/>
  <c r="BH81" i="6"/>
  <c r="BH79" i="6"/>
  <c r="BH80" i="6"/>
  <c r="BH74" i="6"/>
  <c r="BG116" i="6"/>
  <c r="BH116" i="6" s="1"/>
  <c r="BG111" i="6"/>
  <c r="BH111" i="6" s="1"/>
  <c r="BG106" i="6"/>
  <c r="BG88" i="6"/>
  <c r="BG91" i="6"/>
  <c r="BG90" i="6"/>
  <c r="BG89" i="6"/>
  <c r="BG80" i="6"/>
  <c r="BG79" i="6"/>
  <c r="BG81" i="6"/>
  <c r="BG74" i="6"/>
  <c r="BM88" i="6"/>
  <c r="BM91" i="6"/>
  <c r="BM90" i="6"/>
  <c r="BM89" i="6"/>
  <c r="BM81" i="6"/>
  <c r="BM80" i="6"/>
  <c r="BM79" i="6"/>
  <c r="BR36" i="6"/>
  <c r="BR39" i="6" s="1"/>
  <c r="BP64" i="6"/>
  <c r="BO22" i="6"/>
  <c r="BO24" i="6" s="1"/>
  <c r="BS66" i="6" s="1"/>
  <c r="BP74" i="6"/>
  <c r="BP55" i="6"/>
  <c r="BO106" i="6"/>
  <c r="BP117" i="6"/>
  <c r="BQ117" i="6" s="1"/>
  <c r="BP116" i="6"/>
  <c r="BQ116" i="6" s="1"/>
  <c r="BP115" i="6"/>
  <c r="BQ115" i="6" s="1"/>
  <c r="BP114" i="6"/>
  <c r="BP110" i="6"/>
  <c r="BQ110" i="6" s="1"/>
  <c r="BP109" i="6"/>
  <c r="BQ109" i="6" s="1"/>
  <c r="BP108" i="6"/>
  <c r="BQ108" i="6" s="1"/>
  <c r="BP105" i="6"/>
  <c r="BQ105" i="6" s="1"/>
  <c r="BP104" i="6"/>
  <c r="BQ104" i="6" s="1"/>
  <c r="BP103" i="6"/>
  <c r="BQ103" i="6" s="1"/>
  <c r="BP102" i="6"/>
  <c r="BQ102" i="6" s="1"/>
  <c r="BP101" i="6"/>
  <c r="BP99" i="6"/>
  <c r="BQ99" i="6" s="1"/>
  <c r="BP98" i="6"/>
  <c r="BQ98" i="6" s="1"/>
  <c r="BP91" i="6"/>
  <c r="BP90" i="6"/>
  <c r="BP89" i="6"/>
  <c r="BP88" i="6"/>
  <c r="BP80" i="6"/>
  <c r="BP81" i="6"/>
  <c r="BP79" i="6"/>
  <c r="BP40" i="6"/>
  <c r="BP39" i="6" s="1"/>
  <c r="BP22" i="6"/>
  <c r="BP24" i="6" s="1"/>
  <c r="BT66" i="6" s="1"/>
  <c r="BL120" i="6"/>
  <c r="BM120" i="6" s="1"/>
  <c r="BN120" i="6" s="1"/>
  <c r="BL117" i="6"/>
  <c r="BL116" i="6"/>
  <c r="BM116" i="6" s="1"/>
  <c r="BN116" i="6" s="1"/>
  <c r="BL115" i="6"/>
  <c r="BM115" i="6" s="1"/>
  <c r="BN115" i="6" s="1"/>
  <c r="BL114" i="6"/>
  <c r="BM114" i="6" s="1"/>
  <c r="BL109" i="6"/>
  <c r="BM109" i="6" s="1"/>
  <c r="BN109" i="6" s="1"/>
  <c r="BL108" i="6"/>
  <c r="BM108" i="6" s="1"/>
  <c r="BL105" i="6"/>
  <c r="BM105" i="6" s="1"/>
  <c r="BN105" i="6" s="1"/>
  <c r="BL104" i="6"/>
  <c r="BM104" i="6" s="1"/>
  <c r="BN104" i="6" s="1"/>
  <c r="BL103" i="6"/>
  <c r="BM103" i="6" s="1"/>
  <c r="BN103" i="6" s="1"/>
  <c r="BL102" i="6"/>
  <c r="BM102" i="6" s="1"/>
  <c r="BN102" i="6" s="1"/>
  <c r="BL101" i="6"/>
  <c r="BM101" i="6" s="1"/>
  <c r="BN101" i="6" s="1"/>
  <c r="BL100" i="6"/>
  <c r="BM100" i="6" s="1"/>
  <c r="BN100" i="6" s="1"/>
  <c r="BL99" i="6"/>
  <c r="BM99" i="6" s="1"/>
  <c r="BN99" i="6" s="1"/>
  <c r="BL98" i="6"/>
  <c r="BM98" i="6" s="1"/>
  <c r="BL89" i="6"/>
  <c r="BL90" i="6"/>
  <c r="BL91" i="6"/>
  <c r="BL88" i="6"/>
  <c r="BL80" i="6"/>
  <c r="BL81" i="6"/>
  <c r="BL79" i="6"/>
  <c r="DB48" i="6"/>
  <c r="DC48" i="6" s="1"/>
  <c r="DB47" i="6"/>
  <c r="DC47" i="6" s="1"/>
  <c r="BV26" i="6"/>
  <c r="BV34" i="6"/>
  <c r="DB31" i="6"/>
  <c r="BK91" i="6"/>
  <c r="BK90" i="6"/>
  <c r="BK89" i="6"/>
  <c r="BK88" i="6"/>
  <c r="BK79" i="6"/>
  <c r="BK81" i="6"/>
  <c r="BK80" i="6"/>
  <c r="CY76" i="6"/>
  <c r="CZ76" i="6"/>
  <c r="DA76" i="6"/>
  <c r="CZ51" i="6"/>
  <c r="CZ52" i="6" s="1"/>
  <c r="CY51" i="6"/>
  <c r="CX51" i="6"/>
  <c r="CX52" i="6" s="1"/>
  <c r="CX56" i="6" s="1"/>
  <c r="CX58" i="6" s="1"/>
  <c r="CW51" i="6"/>
  <c r="CW52" i="6" s="1"/>
  <c r="CW56" i="6" s="1"/>
  <c r="CW58" i="6" s="1"/>
  <c r="CF51" i="6"/>
  <c r="CW45" i="6"/>
  <c r="BN88" i="6"/>
  <c r="BN91" i="6"/>
  <c r="BN90" i="6"/>
  <c r="BN89" i="6"/>
  <c r="BO89" i="6"/>
  <c r="BO88" i="6"/>
  <c r="BO91" i="6"/>
  <c r="BO90" i="6"/>
  <c r="BN82" i="6"/>
  <c r="BN81" i="6"/>
  <c r="BN79" i="6"/>
  <c r="BO80" i="6"/>
  <c r="BO81" i="6"/>
  <c r="BO79" i="6"/>
  <c r="BK118" i="6"/>
  <c r="BO118" i="6"/>
  <c r="BK111" i="6"/>
  <c r="BK112" i="6" s="1"/>
  <c r="BO111" i="6"/>
  <c r="BO112" i="6" s="1"/>
  <c r="BK106" i="6"/>
  <c r="BN74" i="6"/>
  <c r="BM74" i="6"/>
  <c r="BL74" i="6"/>
  <c r="BK74" i="6"/>
  <c r="BO65" i="6"/>
  <c r="BO64" i="6"/>
  <c r="DB21" i="6"/>
  <c r="DB20" i="6"/>
  <c r="DB19" i="6"/>
  <c r="DB17" i="6"/>
  <c r="DB16" i="6"/>
  <c r="DB15" i="6"/>
  <c r="DB14" i="6"/>
  <c r="DB42" i="6"/>
  <c r="DB41" i="6"/>
  <c r="DB43" i="6"/>
  <c r="BO74" i="6"/>
  <c r="BO51" i="6"/>
  <c r="BO52" i="6" s="1"/>
  <c r="BO40" i="6"/>
  <c r="BO39" i="6" s="1"/>
  <c r="BN40" i="6"/>
  <c r="BN39" i="6"/>
  <c r="BM40" i="6"/>
  <c r="BM39" i="6"/>
  <c r="BL39" i="6"/>
  <c r="BL40" i="6"/>
  <c r="AR21" i="6"/>
  <c r="AR17" i="6"/>
  <c r="AS40" i="6"/>
  <c r="AS17" i="6"/>
  <c r="AS15" i="6"/>
  <c r="AS21" i="6"/>
  <c r="AT40" i="6"/>
  <c r="AT22" i="6"/>
  <c r="AT24" i="6" s="1"/>
  <c r="AU40" i="6"/>
  <c r="AU22" i="6"/>
  <c r="AU24" i="6" s="1"/>
  <c r="AU66" i="6" s="1"/>
  <c r="AV40" i="6"/>
  <c r="AV22" i="6"/>
  <c r="AV24" i="6" s="1"/>
  <c r="BA65" i="6"/>
  <c r="BA64" i="6"/>
  <c r="AW40" i="6"/>
  <c r="AW22" i="6"/>
  <c r="AW24" i="6" s="1"/>
  <c r="BK64" i="6"/>
  <c r="DA21" i="6"/>
  <c r="DA19" i="6"/>
  <c r="DA16" i="6"/>
  <c r="BM22" i="6"/>
  <c r="DA15" i="6"/>
  <c r="CZ43" i="6"/>
  <c r="CY43" i="6"/>
  <c r="CX43" i="6"/>
  <c r="DA42" i="6"/>
  <c r="CZ42" i="6"/>
  <c r="CY42" i="6"/>
  <c r="CX42" i="6"/>
  <c r="DA41" i="6"/>
  <c r="CZ41" i="6"/>
  <c r="CY41" i="6"/>
  <c r="CX41" i="6"/>
  <c r="CZ38" i="6"/>
  <c r="CY38" i="6"/>
  <c r="CX38" i="6"/>
  <c r="CZ37" i="6"/>
  <c r="CY37" i="6"/>
  <c r="CX37" i="6"/>
  <c r="CZ36" i="6"/>
  <c r="CY36" i="6"/>
  <c r="CX36" i="6"/>
  <c r="CZ34" i="6"/>
  <c r="CY34" i="6"/>
  <c r="CX34" i="6"/>
  <c r="CZ32" i="6"/>
  <c r="CY32" i="6"/>
  <c r="CX32" i="6"/>
  <c r="CZ31" i="6"/>
  <c r="CY31" i="6"/>
  <c r="CX31" i="6"/>
  <c r="CZ28" i="6"/>
  <c r="CY28" i="6"/>
  <c r="CX28" i="6"/>
  <c r="CZ27" i="6"/>
  <c r="CY27" i="6"/>
  <c r="CX27" i="6"/>
  <c r="CZ26" i="6"/>
  <c r="CY26" i="6"/>
  <c r="CX26" i="6"/>
  <c r="CZ23" i="6"/>
  <c r="CY23" i="6"/>
  <c r="CX23" i="6"/>
  <c r="CZ21" i="6"/>
  <c r="CY21" i="6"/>
  <c r="CX21" i="6"/>
  <c r="CZ20" i="6"/>
  <c r="CY20" i="6"/>
  <c r="CX20" i="6"/>
  <c r="CZ19" i="6"/>
  <c r="CY19" i="6"/>
  <c r="CX19" i="6"/>
  <c r="CZ17" i="6"/>
  <c r="CY17" i="6"/>
  <c r="CX17" i="6"/>
  <c r="CZ16" i="6"/>
  <c r="CY16" i="6"/>
  <c r="CX16" i="6"/>
  <c r="CZ15" i="6"/>
  <c r="CY15" i="6"/>
  <c r="CX15" i="6"/>
  <c r="CX14" i="6"/>
  <c r="CY14" i="6"/>
  <c r="CZ14" i="6"/>
  <c r="BK40" i="6"/>
  <c r="BK39" i="6"/>
  <c r="BJ39" i="6"/>
  <c r="BK22" i="6"/>
  <c r="BK24" i="6" s="1"/>
  <c r="BJ64" i="6"/>
  <c r="BJ40" i="6"/>
  <c r="BJ22" i="6"/>
  <c r="BJ24" i="6" s="1"/>
  <c r="BI93" i="6"/>
  <c r="BI90" i="6"/>
  <c r="BI89" i="6"/>
  <c r="BI88" i="6"/>
  <c r="BI79" i="6"/>
  <c r="BI81" i="6"/>
  <c r="BI80" i="6"/>
  <c r="BI55" i="6"/>
  <c r="BI65" i="6"/>
  <c r="BI64" i="6"/>
  <c r="BI40" i="6"/>
  <c r="BI39" i="6"/>
  <c r="BI22" i="6"/>
  <c r="BI24" i="6" s="1"/>
  <c r="AL44" i="6"/>
  <c r="AK44" i="6"/>
  <c r="AJ44" i="6"/>
  <c r="AI44" i="6"/>
  <c r="AH44" i="6"/>
  <c r="AG44" i="6"/>
  <c r="AF44" i="6"/>
  <c r="AE44" i="6"/>
  <c r="AD44" i="6"/>
  <c r="AC44" i="6"/>
  <c r="CT46" i="6"/>
  <c r="CT55" i="6"/>
  <c r="CS55" i="6"/>
  <c r="CR55" i="6"/>
  <c r="CT51" i="6"/>
  <c r="CS51" i="6"/>
  <c r="CR51" i="6"/>
  <c r="CR46" i="6"/>
  <c r="CS46" i="6"/>
  <c r="CW62" i="6"/>
  <c r="CV62" i="6"/>
  <c r="CU62" i="6"/>
  <c r="CT62" i="6"/>
  <c r="CS62" i="6"/>
  <c r="CR62" i="6"/>
  <c r="CP51" i="6"/>
  <c r="CO51" i="6"/>
  <c r="CP55" i="6"/>
  <c r="CO55" i="6"/>
  <c r="CN55" i="6"/>
  <c r="CW67" i="6"/>
  <c r="CV67" i="6"/>
  <c r="CU67" i="6"/>
  <c r="CO44" i="6"/>
  <c r="CO46" i="6" s="1"/>
  <c r="CP44" i="6"/>
  <c r="CQ62" i="6" s="1"/>
  <c r="CL43" i="6"/>
  <c r="CL42" i="6"/>
  <c r="CL41" i="6"/>
  <c r="CL36" i="6"/>
  <c r="CL34" i="6"/>
  <c r="CL30" i="6"/>
  <c r="CL23" i="6"/>
  <c r="CL22" i="6"/>
  <c r="CM26" i="6"/>
  <c r="CN42" i="6"/>
  <c r="CN34" i="6"/>
  <c r="CN30" i="6"/>
  <c r="CN23" i="6"/>
  <c r="CN26" i="6"/>
  <c r="BB65" i="6"/>
  <c r="BB64" i="6"/>
  <c r="AX51" i="6"/>
  <c r="AX52" i="6" s="1"/>
  <c r="AX56" i="6" s="1"/>
  <c r="AX40" i="6"/>
  <c r="AX22" i="6"/>
  <c r="AX24" i="6" s="1"/>
  <c r="BB51" i="6"/>
  <c r="BB52" i="6" s="1"/>
  <c r="BB56" i="6" s="1"/>
  <c r="BB58" i="6" s="1"/>
  <c r="BA51" i="6"/>
  <c r="BA52" i="6" s="1"/>
  <c r="BA56" i="6" s="1"/>
  <c r="BA58" i="6" s="1"/>
  <c r="AZ51" i="6"/>
  <c r="AZ52" i="6" s="1"/>
  <c r="AZ56" i="6" s="1"/>
  <c r="AZ58" i="6" s="1"/>
  <c r="AY51" i="6"/>
  <c r="AY52" i="6" s="1"/>
  <c r="AY56" i="6" s="1"/>
  <c r="AY58" i="6" s="1"/>
  <c r="BH51" i="6"/>
  <c r="BG51" i="6"/>
  <c r="BG52" i="6" s="1"/>
  <c r="BG56" i="6" s="1"/>
  <c r="BG58" i="6" s="1"/>
  <c r="BG59" i="6" s="1"/>
  <c r="BF51" i="6"/>
  <c r="BF52" i="6" s="1"/>
  <c r="BF56" i="6" s="1"/>
  <c r="BE51" i="6"/>
  <c r="BE52" i="6" s="1"/>
  <c r="BE56" i="6" s="1"/>
  <c r="BE70" i="6" s="1"/>
  <c r="BD51" i="6"/>
  <c r="BC51" i="6"/>
  <c r="BC52" i="6" s="1"/>
  <c r="BC65" i="6"/>
  <c r="BC64" i="6"/>
  <c r="BH55" i="6"/>
  <c r="BH40" i="6"/>
  <c r="BH39" i="6"/>
  <c r="BH22" i="6"/>
  <c r="BH24" i="6" s="1"/>
  <c r="BG64" i="6"/>
  <c r="BF64" i="6"/>
  <c r="BE64" i="6"/>
  <c r="BD64" i="6"/>
  <c r="BH64" i="6"/>
  <c r="DA38" i="6"/>
  <c r="DA37" i="6"/>
  <c r="BL64" i="6"/>
  <c r="BN64" i="6"/>
  <c r="BH65" i="6"/>
  <c r="AY40" i="6"/>
  <c r="AY39" i="6"/>
  <c r="AY22" i="6"/>
  <c r="AY24" i="6" s="1"/>
  <c r="AZ39" i="6"/>
  <c r="AZ40" i="6"/>
  <c r="AZ22" i="6"/>
  <c r="AZ24" i="6" s="1"/>
  <c r="BA39" i="6"/>
  <c r="BA40" i="6"/>
  <c r="BA22" i="6"/>
  <c r="BA24" i="6" s="1"/>
  <c r="BB39" i="6"/>
  <c r="BB40" i="6"/>
  <c r="BB22" i="6"/>
  <c r="BB24" i="6" s="1"/>
  <c r="BD65" i="6"/>
  <c r="BE65" i="6"/>
  <c r="BF65" i="6"/>
  <c r="BD55" i="6"/>
  <c r="CY55" i="6" s="1"/>
  <c r="BC22" i="6"/>
  <c r="BC24" i="6" s="1"/>
  <c r="BD40" i="6"/>
  <c r="BD39" i="6"/>
  <c r="BD22" i="6"/>
  <c r="BD24" i="6" s="1"/>
  <c r="BE40" i="6"/>
  <c r="BE39" i="6"/>
  <c r="BE22" i="6"/>
  <c r="BE24" i="6" s="1"/>
  <c r="BG22" i="6"/>
  <c r="BG24" i="6" s="1"/>
  <c r="BF22" i="6"/>
  <c r="BF24" i="6" s="1"/>
  <c r="BF40" i="6"/>
  <c r="BF39" i="6"/>
  <c r="CV51" i="6"/>
  <c r="CV52" i="6" s="1"/>
  <c r="CU51" i="6"/>
  <c r="CU52" i="6" s="1"/>
  <c r="CT2" i="6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DJ2" i="6" s="1"/>
  <c r="DK2" i="6" s="1"/>
  <c r="DL2" i="6" s="1"/>
  <c r="DM2" i="6" s="1"/>
  <c r="BG65" i="6"/>
  <c r="BG40" i="6"/>
  <c r="BC40" i="6"/>
  <c r="BC39" i="6"/>
  <c r="BG39" i="6"/>
  <c r="AB51" i="6"/>
  <c r="AB52" i="6" s="1"/>
  <c r="AB56" i="6" s="1"/>
  <c r="BC95" i="6" l="1"/>
  <c r="AT44" i="6"/>
  <c r="BP86" i="6"/>
  <c r="AQ58" i="6"/>
  <c r="CZ55" i="6"/>
  <c r="BD95" i="6"/>
  <c r="BO56" i="6"/>
  <c r="BO58" i="6" s="1"/>
  <c r="BH106" i="6"/>
  <c r="AR22" i="6"/>
  <c r="AR24" i="6" s="1"/>
  <c r="AV66" i="6" s="1"/>
  <c r="BC86" i="6"/>
  <c r="BD44" i="6"/>
  <c r="BD68" i="6" s="1"/>
  <c r="BV37" i="6"/>
  <c r="DC37" i="6" s="1"/>
  <c r="DD37" i="6" s="1"/>
  <c r="DE37" i="6" s="1"/>
  <c r="DF37" i="6" s="1"/>
  <c r="DG37" i="6" s="1"/>
  <c r="DH37" i="6" s="1"/>
  <c r="DI37" i="6" s="1"/>
  <c r="DJ37" i="6" s="1"/>
  <c r="DK37" i="6" s="1"/>
  <c r="DL37" i="6" s="1"/>
  <c r="DM37" i="6" s="1"/>
  <c r="AT69" i="6"/>
  <c r="AT67" i="6"/>
  <c r="AT45" i="6"/>
  <c r="AT62" i="6"/>
  <c r="AT68" i="6"/>
  <c r="BJ86" i="6"/>
  <c r="DE26" i="6"/>
  <c r="DF26" i="6" s="1"/>
  <c r="DG26" i="6" s="1"/>
  <c r="DH26" i="6" s="1"/>
  <c r="DI26" i="6" s="1"/>
  <c r="DJ26" i="6" s="1"/>
  <c r="DK26" i="6" s="1"/>
  <c r="DL26" i="6" s="1"/>
  <c r="DM26" i="6" s="1"/>
  <c r="BG118" i="6"/>
  <c r="BD111" i="6"/>
  <c r="BE111" i="6" s="1"/>
  <c r="BF111" i="6" s="1"/>
  <c r="BF112" i="6" s="1"/>
  <c r="AZ66" i="6"/>
  <c r="AX66" i="6"/>
  <c r="BF118" i="6"/>
  <c r="AT111" i="6"/>
  <c r="AT112" i="6" s="1"/>
  <c r="AT121" i="6" s="1"/>
  <c r="AS112" i="6"/>
  <c r="AS121" i="6" s="1"/>
  <c r="BP100" i="6"/>
  <c r="BQ100" i="6" s="1"/>
  <c r="BQ101" i="6"/>
  <c r="BP118" i="6"/>
  <c r="BQ114" i="6"/>
  <c r="BQ118" i="6" s="1"/>
  <c r="AY44" i="6"/>
  <c r="AY69" i="6" s="1"/>
  <c r="AY66" i="6"/>
  <c r="DC34" i="6"/>
  <c r="DD34" i="6" s="1"/>
  <c r="DE34" i="6" s="1"/>
  <c r="DF34" i="6" s="1"/>
  <c r="DG34" i="6" s="1"/>
  <c r="DH34" i="6" s="1"/>
  <c r="DI34" i="6" s="1"/>
  <c r="DJ34" i="6" s="1"/>
  <c r="DK34" i="6" s="1"/>
  <c r="DL34" i="6" s="1"/>
  <c r="DM34" i="6" s="1"/>
  <c r="BD78" i="6"/>
  <c r="DB36" i="6"/>
  <c r="AQ97" i="6"/>
  <c r="AQ59" i="6"/>
  <c r="CY64" i="6"/>
  <c r="BG86" i="6"/>
  <c r="BG95" i="6"/>
  <c r="BA59" i="6"/>
  <c r="BA97" i="6"/>
  <c r="BI98" i="6"/>
  <c r="BJ98" i="6" s="1"/>
  <c r="BJ106" i="6" s="1"/>
  <c r="BD118" i="6"/>
  <c r="BE118" i="6"/>
  <c r="CZ56" i="6"/>
  <c r="CZ58" i="6" s="1"/>
  <c r="CZ59" i="6" s="1"/>
  <c r="BE106" i="6"/>
  <c r="BF98" i="6"/>
  <c r="BF106" i="6" s="1"/>
  <c r="DB60" i="6"/>
  <c r="DC60" i="6" s="1"/>
  <c r="DD60" i="6" s="1"/>
  <c r="DE60" i="6" s="1"/>
  <c r="DF60" i="6" s="1"/>
  <c r="DG60" i="6" s="1"/>
  <c r="DH60" i="6" s="1"/>
  <c r="CZ64" i="6"/>
  <c r="BB59" i="6"/>
  <c r="BB97" i="6"/>
  <c r="BC78" i="6"/>
  <c r="BH86" i="6"/>
  <c r="BM78" i="6"/>
  <c r="BD106" i="6"/>
  <c r="AZ59" i="6"/>
  <c r="AZ97" i="6"/>
  <c r="BD86" i="6"/>
  <c r="AY59" i="6"/>
  <c r="AY97" i="6"/>
  <c r="DB49" i="6"/>
  <c r="DC49" i="6" s="1"/>
  <c r="BC121" i="6"/>
  <c r="BG112" i="6"/>
  <c r="BN86" i="6"/>
  <c r="BK95" i="6"/>
  <c r="BG78" i="6"/>
  <c r="CW70" i="6"/>
  <c r="BJ114" i="6"/>
  <c r="BH112" i="6"/>
  <c r="BI111" i="6"/>
  <c r="BJ111" i="6" s="1"/>
  <c r="BJ112" i="6" s="1"/>
  <c r="BH118" i="6"/>
  <c r="BH121" i="6" s="1"/>
  <c r="BI116" i="6"/>
  <c r="BJ116" i="6" s="1"/>
  <c r="BI112" i="6"/>
  <c r="CX70" i="6"/>
  <c r="BI106" i="6"/>
  <c r="BG97" i="6"/>
  <c r="BH78" i="6"/>
  <c r="BJ120" i="6"/>
  <c r="BH95" i="6"/>
  <c r="BP78" i="6"/>
  <c r="BJ95" i="6"/>
  <c r="BN114" i="6"/>
  <c r="BN118" i="6" s="1"/>
  <c r="BM118" i="6"/>
  <c r="DB38" i="6"/>
  <c r="BN108" i="6"/>
  <c r="BN98" i="6"/>
  <c r="BN106" i="6" s="1"/>
  <c r="BM106" i="6"/>
  <c r="BM86" i="6"/>
  <c r="DC31" i="6"/>
  <c r="BO95" i="6"/>
  <c r="BP111" i="6"/>
  <c r="BV32" i="6"/>
  <c r="BM95" i="6"/>
  <c r="DB37" i="6"/>
  <c r="BP44" i="6"/>
  <c r="BP46" i="6" s="1"/>
  <c r="BL106" i="6"/>
  <c r="BL118" i="6"/>
  <c r="BJ44" i="6"/>
  <c r="BP95" i="6"/>
  <c r="BI95" i="6"/>
  <c r="DA51" i="6"/>
  <c r="BL78" i="6"/>
  <c r="DB34" i="6"/>
  <c r="DB32" i="6"/>
  <c r="BK86" i="6"/>
  <c r="DB27" i="6"/>
  <c r="BP65" i="6"/>
  <c r="BO121" i="6"/>
  <c r="BN95" i="6"/>
  <c r="BQ65" i="6"/>
  <c r="DB26" i="6"/>
  <c r="BP51" i="6"/>
  <c r="BL95" i="6"/>
  <c r="CZ40" i="6"/>
  <c r="BL86" i="6"/>
  <c r="BL111" i="6"/>
  <c r="BO78" i="6"/>
  <c r="BO86" i="6"/>
  <c r="BK121" i="6"/>
  <c r="AW44" i="6"/>
  <c r="BA66" i="6"/>
  <c r="BO44" i="6"/>
  <c r="BO66" i="6"/>
  <c r="BQ64" i="6"/>
  <c r="BR65" i="6"/>
  <c r="DB28" i="6"/>
  <c r="BK78" i="6"/>
  <c r="BN78" i="6"/>
  <c r="BJ78" i="6"/>
  <c r="AS22" i="6"/>
  <c r="AS24" i="6" s="1"/>
  <c r="AS44" i="6" s="1"/>
  <c r="AU44" i="6"/>
  <c r="AV44" i="6"/>
  <c r="DA23" i="6"/>
  <c r="DA36" i="6"/>
  <c r="AX44" i="6"/>
  <c r="CL44" i="6"/>
  <c r="DA27" i="6"/>
  <c r="BI86" i="6"/>
  <c r="BK44" i="6"/>
  <c r="BK45" i="6" s="1"/>
  <c r="CZ39" i="6"/>
  <c r="DA31" i="6"/>
  <c r="CX39" i="6"/>
  <c r="CX40" i="6"/>
  <c r="CT52" i="6"/>
  <c r="CT56" i="6" s="1"/>
  <c r="CT58" i="6" s="1"/>
  <c r="CZ22" i="6"/>
  <c r="CY22" i="6"/>
  <c r="CY39" i="6"/>
  <c r="DA34" i="6"/>
  <c r="BN22" i="6"/>
  <c r="BM24" i="6"/>
  <c r="DA32" i="6"/>
  <c r="DA14" i="6"/>
  <c r="CX22" i="6"/>
  <c r="CX24" i="6" s="1"/>
  <c r="DA39" i="6"/>
  <c r="CO52" i="6"/>
  <c r="DA17" i="6"/>
  <c r="BL22" i="6"/>
  <c r="BL24" i="6" s="1"/>
  <c r="CY40" i="6"/>
  <c r="BI66" i="6"/>
  <c r="BI78" i="6"/>
  <c r="DA20" i="6"/>
  <c r="CP46" i="6"/>
  <c r="CP52" i="6" s="1"/>
  <c r="CP62" i="6"/>
  <c r="CT67" i="6"/>
  <c r="BB66" i="6"/>
  <c r="AZ70" i="6"/>
  <c r="BA44" i="6"/>
  <c r="AX70" i="6"/>
  <c r="AX58" i="6"/>
  <c r="BA70" i="6"/>
  <c r="BB70" i="6"/>
  <c r="BD69" i="6"/>
  <c r="AY70" i="6"/>
  <c r="BJ65" i="6"/>
  <c r="AZ44" i="6"/>
  <c r="BC56" i="6"/>
  <c r="BC58" i="6" s="1"/>
  <c r="BF70" i="6"/>
  <c r="BF58" i="6"/>
  <c r="BE58" i="6"/>
  <c r="BG70" i="6"/>
  <c r="BG44" i="6"/>
  <c r="BG69" i="6" s="1"/>
  <c r="BE44" i="6"/>
  <c r="BK65" i="6"/>
  <c r="BJ66" i="6"/>
  <c r="BB44" i="6"/>
  <c r="BH66" i="6"/>
  <c r="BF44" i="6"/>
  <c r="BG66" i="6"/>
  <c r="BN65" i="6"/>
  <c r="BC66" i="6"/>
  <c r="BD66" i="6"/>
  <c r="BC44" i="6"/>
  <c r="BC69" i="6" s="1"/>
  <c r="BE66" i="6"/>
  <c r="BF66" i="6"/>
  <c r="AB57" i="6"/>
  <c r="AB58" i="6" s="1"/>
  <c r="AB59" i="6" s="1"/>
  <c r="AB43" i="6"/>
  <c r="AB41" i="6"/>
  <c r="AB36" i="6"/>
  <c r="AB30" i="6"/>
  <c r="AB34" i="6"/>
  <c r="AB26" i="6"/>
  <c r="AB23" i="6"/>
  <c r="AB20" i="6"/>
  <c r="AB16" i="6"/>
  <c r="AB14" i="6"/>
  <c r="AA22" i="6"/>
  <c r="AA44" i="6" s="1"/>
  <c r="Z22" i="6"/>
  <c r="Y22" i="6"/>
  <c r="X22" i="6"/>
  <c r="W22" i="6"/>
  <c r="V22" i="6"/>
  <c r="U22" i="6"/>
  <c r="T22" i="6"/>
  <c r="S22" i="6"/>
  <c r="R22" i="6"/>
  <c r="Q22" i="6"/>
  <c r="P22" i="6"/>
  <c r="J30" i="6"/>
  <c r="CM30" i="6" s="1"/>
  <c r="O22" i="6"/>
  <c r="O44" i="6" s="1"/>
  <c r="O45" i="6" s="1"/>
  <c r="K22" i="6"/>
  <c r="L20" i="6"/>
  <c r="M20" i="6" s="1"/>
  <c r="N20" i="6" s="1"/>
  <c r="L16" i="6"/>
  <c r="M16" i="6" s="1"/>
  <c r="N16" i="6" s="1"/>
  <c r="L14" i="6"/>
  <c r="N41" i="6"/>
  <c r="CN41" i="6" s="1"/>
  <c r="N36" i="6"/>
  <c r="CN36" i="6" s="1"/>
  <c r="O58" i="6"/>
  <c r="O59" i="6" s="1"/>
  <c r="O55" i="6"/>
  <c r="O51" i="6"/>
  <c r="O52" i="6" s="1"/>
  <c r="L55" i="6"/>
  <c r="M55" i="6"/>
  <c r="N55" i="6" s="1"/>
  <c r="K43" i="6"/>
  <c r="CN43" i="6" s="1"/>
  <c r="N49" i="6"/>
  <c r="N48" i="6"/>
  <c r="K51" i="6"/>
  <c r="K52" i="6" s="1"/>
  <c r="K56" i="6" s="1"/>
  <c r="J42" i="6"/>
  <c r="J41" i="6"/>
  <c r="CM41" i="6" s="1"/>
  <c r="J36" i="6"/>
  <c r="CM36" i="6" s="1"/>
  <c r="J34" i="6"/>
  <c r="CM34" i="6" s="1"/>
  <c r="J23" i="6"/>
  <c r="CM23" i="6" s="1"/>
  <c r="J22" i="6"/>
  <c r="CM22" i="6" s="1"/>
  <c r="CM49" i="6"/>
  <c r="CM48" i="6"/>
  <c r="CM47" i="6"/>
  <c r="J59" i="6"/>
  <c r="J51" i="6"/>
  <c r="J52" i="6" s="1"/>
  <c r="J56" i="6" s="1"/>
  <c r="J57" i="6" s="1"/>
  <c r="J70" i="6" s="1"/>
  <c r="I44" i="6"/>
  <c r="I45" i="6" s="1"/>
  <c r="H44" i="6"/>
  <c r="H67" i="6" s="1"/>
  <c r="G44" i="6"/>
  <c r="G67" i="6" s="1"/>
  <c r="F44" i="6"/>
  <c r="F45" i="6" s="1"/>
  <c r="E44" i="6"/>
  <c r="E67" i="6" s="1"/>
  <c r="D44" i="6"/>
  <c r="D67" i="6" s="1"/>
  <c r="C44" i="6"/>
  <c r="C48" i="6"/>
  <c r="C51" i="6" s="1"/>
  <c r="C52" i="6" s="1"/>
  <c r="C56" i="6" s="1"/>
  <c r="C57" i="6" s="1"/>
  <c r="C70" i="6" s="1"/>
  <c r="C59" i="6"/>
  <c r="E48" i="6"/>
  <c r="E51" i="6" s="1"/>
  <c r="E52" i="6" s="1"/>
  <c r="E56" i="6" s="1"/>
  <c r="E57" i="6" s="1"/>
  <c r="E70" i="6" s="1"/>
  <c r="D48" i="6"/>
  <c r="D51" i="6" s="1"/>
  <c r="D52" i="6" s="1"/>
  <c r="D56" i="6" s="1"/>
  <c r="D57" i="6" s="1"/>
  <c r="D70" i="6" s="1"/>
  <c r="D59" i="6"/>
  <c r="E59" i="6"/>
  <c r="F59" i="6"/>
  <c r="F51" i="6"/>
  <c r="F52" i="6" s="1"/>
  <c r="F56" i="6" s="1"/>
  <c r="F57" i="6" s="1"/>
  <c r="F70" i="6" s="1"/>
  <c r="G59" i="6"/>
  <c r="G51" i="6"/>
  <c r="G52" i="6" s="1"/>
  <c r="G56" i="6" s="1"/>
  <c r="G57" i="6" s="1"/>
  <c r="G70" i="6" s="1"/>
  <c r="H59" i="6"/>
  <c r="H51" i="6"/>
  <c r="H52" i="6" s="1"/>
  <c r="H56" i="6" s="1"/>
  <c r="H57" i="6" s="1"/>
  <c r="H70" i="6" s="1"/>
  <c r="I59" i="6"/>
  <c r="I51" i="6"/>
  <c r="I52" i="6" s="1"/>
  <c r="I56" i="6" s="1"/>
  <c r="I57" i="6" s="1"/>
  <c r="I70" i="6" s="1"/>
  <c r="J4" i="25"/>
  <c r="J7" i="25" s="1"/>
  <c r="CE51" i="6"/>
  <c r="CE55" i="6" s="1"/>
  <c r="CE57" i="6" s="1"/>
  <c r="CD51" i="6"/>
  <c r="CD55" i="6" s="1"/>
  <c r="CD57" i="6" s="1"/>
  <c r="CF55" i="6"/>
  <c r="CF57" i="6" s="1"/>
  <c r="CC46" i="6"/>
  <c r="CC51" i="6" s="1"/>
  <c r="CC55" i="6" s="1"/>
  <c r="CC57" i="6" s="1"/>
  <c r="CG52" i="6"/>
  <c r="CG53" i="6"/>
  <c r="CG54" i="6"/>
  <c r="CH52" i="6"/>
  <c r="CH53" i="6"/>
  <c r="CH54" i="6"/>
  <c r="CD45" i="6"/>
  <c r="CE45" i="6"/>
  <c r="CF45" i="6"/>
  <c r="CB46" i="6"/>
  <c r="CB51" i="6" s="1"/>
  <c r="CB55" i="6" s="1"/>
  <c r="CB57" i="6" s="1"/>
  <c r="CF62" i="6"/>
  <c r="CE62" i="6"/>
  <c r="CD62" i="6"/>
  <c r="CC62" i="6"/>
  <c r="CG62" i="6"/>
  <c r="N47" i="6"/>
  <c r="M51" i="6"/>
  <c r="M52" i="6" s="1"/>
  <c r="N50" i="6"/>
  <c r="L51" i="6"/>
  <c r="L52" i="6" s="1"/>
  <c r="BF121" i="6" l="1"/>
  <c r="BO70" i="6"/>
  <c r="BD46" i="6"/>
  <c r="BD67" i="6" s="1"/>
  <c r="BO97" i="6"/>
  <c r="BO59" i="6"/>
  <c r="DC32" i="6"/>
  <c r="DD32" i="6" s="1"/>
  <c r="DE32" i="6" s="1"/>
  <c r="DF32" i="6" s="1"/>
  <c r="DG32" i="6" s="1"/>
  <c r="DH32" i="6" s="1"/>
  <c r="DI32" i="6" s="1"/>
  <c r="DJ32" i="6" s="1"/>
  <c r="DK32" i="6" s="1"/>
  <c r="DL32" i="6" s="1"/>
  <c r="DM32" i="6" s="1"/>
  <c r="BG121" i="6"/>
  <c r="BQ106" i="6"/>
  <c r="DI31" i="6"/>
  <c r="DJ31" i="6" s="1"/>
  <c r="DK31" i="6" s="1"/>
  <c r="DL31" i="6" s="1"/>
  <c r="DM31" i="6" s="1"/>
  <c r="BV39" i="6"/>
  <c r="DC64" i="6"/>
  <c r="AY62" i="6"/>
  <c r="AW66" i="6"/>
  <c r="BP106" i="6"/>
  <c r="BP112" i="6"/>
  <c r="BQ111" i="6"/>
  <c r="BQ112" i="6" s="1"/>
  <c r="BQ121" i="6" s="1"/>
  <c r="BV38" i="6"/>
  <c r="AV69" i="6"/>
  <c r="AV68" i="6"/>
  <c r="AV46" i="6"/>
  <c r="AS46" i="6"/>
  <c r="AS62" i="6"/>
  <c r="AS69" i="6"/>
  <c r="AS68" i="6"/>
  <c r="AW46" i="6"/>
  <c r="AW69" i="6"/>
  <c r="AW68" i="6"/>
  <c r="BD112" i="6"/>
  <c r="BD121" i="6" s="1"/>
  <c r="BE112" i="6"/>
  <c r="BE121" i="6" s="1"/>
  <c r="DI60" i="6"/>
  <c r="AW62" i="6"/>
  <c r="CZ70" i="6"/>
  <c r="BE59" i="6"/>
  <c r="BE97" i="6"/>
  <c r="AU69" i="6"/>
  <c r="AU62" i="6"/>
  <c r="AU68" i="6"/>
  <c r="AU46" i="6"/>
  <c r="AZ69" i="6"/>
  <c r="AZ62" i="6"/>
  <c r="DB39" i="6"/>
  <c r="AX59" i="6"/>
  <c r="AX97" i="6"/>
  <c r="AX69" i="6"/>
  <c r="AX62" i="6"/>
  <c r="BF59" i="6"/>
  <c r="BF97" i="6"/>
  <c r="BC59" i="6"/>
  <c r="BC97" i="6"/>
  <c r="BP121" i="6"/>
  <c r="CY24" i="6"/>
  <c r="CY44" i="6" s="1"/>
  <c r="CY66" i="6"/>
  <c r="BN24" i="6"/>
  <c r="DC24" i="6" s="1"/>
  <c r="DD24" i="6" s="1"/>
  <c r="CZ24" i="6"/>
  <c r="CZ44" i="6" s="1"/>
  <c r="CZ66" i="6"/>
  <c r="DB55" i="6"/>
  <c r="BJ118" i="6"/>
  <c r="BJ121" i="6" s="1"/>
  <c r="BQ51" i="6"/>
  <c r="BI118" i="6"/>
  <c r="BI121" i="6" s="1"/>
  <c r="BL112" i="6"/>
  <c r="BM111" i="6"/>
  <c r="BP52" i="6"/>
  <c r="BP56" i="6" s="1"/>
  <c r="BL121" i="6"/>
  <c r="BR51" i="6"/>
  <c r="BA45" i="6"/>
  <c r="BA62" i="6"/>
  <c r="BL44" i="6"/>
  <c r="BL45" i="6" s="1"/>
  <c r="BO62" i="6"/>
  <c r="BO45" i="6"/>
  <c r="BO69" i="6"/>
  <c r="BO68" i="6"/>
  <c r="BO67" i="6"/>
  <c r="AX68" i="6"/>
  <c r="BM44" i="6"/>
  <c r="BM45" i="6" s="1"/>
  <c r="AX67" i="6"/>
  <c r="CX44" i="6"/>
  <c r="BA67" i="6"/>
  <c r="DA22" i="6"/>
  <c r="BA68" i="6"/>
  <c r="DA40" i="6"/>
  <c r="AX45" i="6"/>
  <c r="BD62" i="6"/>
  <c r="BM64" i="6"/>
  <c r="DA28" i="6"/>
  <c r="DA64" i="6" s="1"/>
  <c r="BK62" i="6"/>
  <c r="BL65" i="6"/>
  <c r="DA26" i="6"/>
  <c r="BC70" i="6"/>
  <c r="BA69" i="6"/>
  <c r="BJ62" i="6"/>
  <c r="CM44" i="6"/>
  <c r="BE68" i="6"/>
  <c r="BE69" i="6"/>
  <c r="BB69" i="6"/>
  <c r="BB62" i="6"/>
  <c r="BF68" i="6"/>
  <c r="BF69" i="6"/>
  <c r="BJ68" i="6"/>
  <c r="BJ69" i="6"/>
  <c r="BB45" i="6"/>
  <c r="BB68" i="6"/>
  <c r="BB67" i="6"/>
  <c r="BG67" i="6"/>
  <c r="BG68" i="6"/>
  <c r="BC45" i="6"/>
  <c r="BC68" i="6"/>
  <c r="AZ45" i="6"/>
  <c r="AZ68" i="6"/>
  <c r="AZ67" i="6"/>
  <c r="AY45" i="6"/>
  <c r="AY68" i="6"/>
  <c r="AY67" i="6"/>
  <c r="BF67" i="6"/>
  <c r="BF45" i="6"/>
  <c r="BE62" i="6"/>
  <c r="BE45" i="6"/>
  <c r="BE67" i="6"/>
  <c r="BH44" i="6"/>
  <c r="BL66" i="6"/>
  <c r="BF62" i="6"/>
  <c r="BM65" i="6"/>
  <c r="BK66" i="6"/>
  <c r="BI44" i="6"/>
  <c r="BG45" i="6"/>
  <c r="BG62" i="6"/>
  <c r="BC67" i="6"/>
  <c r="BC62" i="6"/>
  <c r="E45" i="6"/>
  <c r="L56" i="6"/>
  <c r="L58" i="6" s="1"/>
  <c r="L59" i="6" s="1"/>
  <c r="L22" i="6"/>
  <c r="L44" i="6" s="1"/>
  <c r="L67" i="6" s="1"/>
  <c r="G45" i="6"/>
  <c r="CH55" i="6"/>
  <c r="CH57" i="6" s="1"/>
  <c r="CH60" i="6" s="1"/>
  <c r="O56" i="6"/>
  <c r="O57" i="6" s="1"/>
  <c r="AB22" i="6"/>
  <c r="AB44" i="6" s="1"/>
  <c r="AB45" i="6" s="1"/>
  <c r="F67" i="6"/>
  <c r="K44" i="6"/>
  <c r="K62" i="6" s="1"/>
  <c r="J44" i="6"/>
  <c r="J45" i="6" s="1"/>
  <c r="CM51" i="6"/>
  <c r="G62" i="6"/>
  <c r="D45" i="6"/>
  <c r="M56" i="6"/>
  <c r="M58" i="6" s="1"/>
  <c r="H62" i="6"/>
  <c r="N51" i="6"/>
  <c r="I67" i="6"/>
  <c r="I62" i="6"/>
  <c r="M14" i="6"/>
  <c r="CG55" i="6"/>
  <c r="CG57" i="6" s="1"/>
  <c r="C67" i="6"/>
  <c r="C45" i="6"/>
  <c r="CF60" i="6"/>
  <c r="CF58" i="6"/>
  <c r="CB58" i="6"/>
  <c r="CB60" i="6"/>
  <c r="CD60" i="6"/>
  <c r="CD58" i="6"/>
  <c r="CE58" i="6"/>
  <c r="CE60" i="6"/>
  <c r="CC58" i="6"/>
  <c r="CC60" i="6"/>
  <c r="K70" i="6"/>
  <c r="K58" i="6"/>
  <c r="K59" i="6" s="1"/>
  <c r="H45" i="6"/>
  <c r="CN51" i="6"/>
  <c r="BD52" i="6" l="1"/>
  <c r="BD56" i="6" s="1"/>
  <c r="BD70" i="6" s="1"/>
  <c r="DC38" i="6"/>
  <c r="DD38" i="6" s="1"/>
  <c r="DE38" i="6" s="1"/>
  <c r="DF38" i="6" s="1"/>
  <c r="DG38" i="6" s="1"/>
  <c r="DH38" i="6" s="1"/>
  <c r="DI38" i="6" s="1"/>
  <c r="DJ38" i="6" s="1"/>
  <c r="DK38" i="6" s="1"/>
  <c r="DL38" i="6" s="1"/>
  <c r="DM38" i="6" s="1"/>
  <c r="DE24" i="6"/>
  <c r="DC39" i="6"/>
  <c r="DD39" i="6" s="1"/>
  <c r="DE39" i="6" s="1"/>
  <c r="DF39" i="6" s="1"/>
  <c r="DG39" i="6" s="1"/>
  <c r="DH39" i="6" s="1"/>
  <c r="DI39" i="6" s="1"/>
  <c r="DJ39" i="6" s="1"/>
  <c r="DK39" i="6" s="1"/>
  <c r="DL39" i="6" s="1"/>
  <c r="DM39" i="6" s="1"/>
  <c r="AW52" i="6"/>
  <c r="AW56" i="6" s="1"/>
  <c r="AW67" i="6"/>
  <c r="AS52" i="6"/>
  <c r="AS56" i="6" s="1"/>
  <c r="AS67" i="6"/>
  <c r="DD64" i="6"/>
  <c r="AV67" i="6"/>
  <c r="AV52" i="6"/>
  <c r="AV56" i="6" s="1"/>
  <c r="DJ60" i="6"/>
  <c r="BR44" i="6"/>
  <c r="CY45" i="6"/>
  <c r="CZ62" i="6"/>
  <c r="DB64" i="6"/>
  <c r="AU67" i="6"/>
  <c r="AU52" i="6"/>
  <c r="AU56" i="6" s="1"/>
  <c r="CY46" i="6"/>
  <c r="CY52" i="6" s="1"/>
  <c r="CY62" i="6"/>
  <c r="DB50" i="6"/>
  <c r="BN66" i="6"/>
  <c r="BN44" i="6"/>
  <c r="BR62" i="6" s="1"/>
  <c r="CZ67" i="6"/>
  <c r="CZ69" i="6"/>
  <c r="CZ68" i="6"/>
  <c r="DA24" i="6"/>
  <c r="DA66" i="6"/>
  <c r="DC22" i="6"/>
  <c r="DB22" i="6"/>
  <c r="CY69" i="6"/>
  <c r="CY68" i="6"/>
  <c r="BN111" i="6"/>
  <c r="BN112" i="6" s="1"/>
  <c r="BN121" i="6" s="1"/>
  <c r="BM112" i="6"/>
  <c r="BM121" i="6" s="1"/>
  <c r="DB40" i="6"/>
  <c r="CX62" i="6"/>
  <c r="BR66" i="6"/>
  <c r="CX67" i="6"/>
  <c r="CX45" i="6"/>
  <c r="BP66" i="6"/>
  <c r="BQ66" i="6"/>
  <c r="BQ44" i="6"/>
  <c r="BL62" i="6"/>
  <c r="BM62" i="6"/>
  <c r="BD58" i="6"/>
  <c r="BI69" i="6"/>
  <c r="BI62" i="6"/>
  <c r="BI46" i="6"/>
  <c r="BI67" i="6" s="1"/>
  <c r="BI68" i="6"/>
  <c r="BL69" i="6"/>
  <c r="BH68" i="6"/>
  <c r="BH69" i="6"/>
  <c r="BK68" i="6"/>
  <c r="BK69" i="6"/>
  <c r="BJ51" i="6"/>
  <c r="BJ52" i="6" s="1"/>
  <c r="BJ56" i="6" s="1"/>
  <c r="BJ70" i="6" s="1"/>
  <c r="BJ67" i="6"/>
  <c r="BJ45" i="6"/>
  <c r="CZ45" i="6" s="1"/>
  <c r="BH46" i="6"/>
  <c r="BH52" i="6" s="1"/>
  <c r="BH56" i="6" s="1"/>
  <c r="BH62" i="6"/>
  <c r="BM66" i="6"/>
  <c r="L70" i="6"/>
  <c r="L62" i="6"/>
  <c r="L45" i="6"/>
  <c r="CM45" i="6"/>
  <c r="J67" i="6"/>
  <c r="K67" i="6"/>
  <c r="J62" i="6"/>
  <c r="O62" i="6"/>
  <c r="K45" i="6"/>
  <c r="M70" i="6"/>
  <c r="N14" i="6"/>
  <c r="N22" i="6" s="1"/>
  <c r="N44" i="6" s="1"/>
  <c r="M22" i="6"/>
  <c r="M59" i="6"/>
  <c r="CG60" i="6"/>
  <c r="AV70" i="6" l="1"/>
  <c r="AV58" i="6"/>
  <c r="DE64" i="6"/>
  <c r="AS58" i="6"/>
  <c r="AS70" i="6"/>
  <c r="AW70" i="6"/>
  <c r="AW58" i="6"/>
  <c r="BH67" i="6"/>
  <c r="DF24" i="6"/>
  <c r="DK60" i="6"/>
  <c r="BN45" i="6"/>
  <c r="DA45" i="6" s="1"/>
  <c r="DA43" i="6"/>
  <c r="DA44" i="6" s="1"/>
  <c r="DB51" i="6"/>
  <c r="DC50" i="6"/>
  <c r="AU70" i="6"/>
  <c r="AU58" i="6"/>
  <c r="CY67" i="6"/>
  <c r="BD59" i="6"/>
  <c r="BD97" i="6"/>
  <c r="CY56" i="6"/>
  <c r="BN62" i="6"/>
  <c r="BN69" i="6"/>
  <c r="DB24" i="6"/>
  <c r="DB44" i="6" s="1"/>
  <c r="DB66" i="6"/>
  <c r="BV36" i="6"/>
  <c r="DC36" i="6" s="1"/>
  <c r="DD36" i="6" s="1"/>
  <c r="CN22" i="6"/>
  <c r="CN44" i="6" s="1"/>
  <c r="CN46" i="6" s="1"/>
  <c r="BQ62" i="6"/>
  <c r="BQ68" i="6"/>
  <c r="BQ69" i="6"/>
  <c r="BP62" i="6"/>
  <c r="BP68" i="6"/>
  <c r="BP69" i="6"/>
  <c r="BR45" i="6"/>
  <c r="BR68" i="6"/>
  <c r="BR69" i="6"/>
  <c r="BL51" i="6"/>
  <c r="BL52" i="6" s="1"/>
  <c r="BL56" i="6" s="1"/>
  <c r="BL70" i="6" s="1"/>
  <c r="BN51" i="6"/>
  <c r="BN52" i="6" s="1"/>
  <c r="BN56" i="6" s="1"/>
  <c r="BN70" i="6" s="1"/>
  <c r="BN68" i="6"/>
  <c r="BL68" i="6"/>
  <c r="BK51" i="6"/>
  <c r="BK52" i="6" s="1"/>
  <c r="BK56" i="6" s="1"/>
  <c r="BK70" i="6" s="1"/>
  <c r="BI51" i="6"/>
  <c r="BI52" i="6" s="1"/>
  <c r="BI56" i="6" s="1"/>
  <c r="BI70" i="6" s="1"/>
  <c r="BM68" i="6"/>
  <c r="BM69" i="6"/>
  <c r="BN67" i="6"/>
  <c r="BK67" i="6"/>
  <c r="BL67" i="6"/>
  <c r="BM67" i="6"/>
  <c r="BH58" i="6"/>
  <c r="BH70" i="6"/>
  <c r="BJ58" i="6"/>
  <c r="CM46" i="6"/>
  <c r="CM67" i="6" s="1"/>
  <c r="M44" i="6"/>
  <c r="N62" i="6"/>
  <c r="N46" i="6"/>
  <c r="CQ51" i="6"/>
  <c r="BS62" i="6" l="1"/>
  <c r="BS46" i="6"/>
  <c r="BS52" i="6" s="1"/>
  <c r="BS56" i="6" s="1"/>
  <c r="DE36" i="6"/>
  <c r="AS97" i="6"/>
  <c r="AS59" i="6"/>
  <c r="DG24" i="6"/>
  <c r="AW97" i="6"/>
  <c r="AW59" i="6"/>
  <c r="DF64" i="6"/>
  <c r="AV97" i="6"/>
  <c r="AV59" i="6"/>
  <c r="DL60" i="6"/>
  <c r="DA62" i="6"/>
  <c r="DA68" i="6"/>
  <c r="DA69" i="6"/>
  <c r="DA46" i="6"/>
  <c r="DA52" i="6" s="1"/>
  <c r="DA56" i="6" s="1"/>
  <c r="DA58" i="6" s="1"/>
  <c r="DA59" i="6" s="1"/>
  <c r="DB62" i="6"/>
  <c r="BT44" i="6"/>
  <c r="AU59" i="6"/>
  <c r="AU97" i="6"/>
  <c r="DC51" i="6"/>
  <c r="CY58" i="6"/>
  <c r="CY59" i="6" s="1"/>
  <c r="CY70" i="6"/>
  <c r="BJ59" i="6"/>
  <c r="BJ97" i="6"/>
  <c r="BH59" i="6"/>
  <c r="BH97" i="6"/>
  <c r="CO62" i="6"/>
  <c r="DB68" i="6"/>
  <c r="DB69" i="6"/>
  <c r="BR67" i="6"/>
  <c r="BR52" i="6"/>
  <c r="BQ52" i="6"/>
  <c r="BQ56" i="6" s="1"/>
  <c r="BQ67" i="6"/>
  <c r="BP67" i="6"/>
  <c r="BQ45" i="6"/>
  <c r="DB45" i="6" s="1"/>
  <c r="DB46" i="6" s="1"/>
  <c r="BM51" i="6"/>
  <c r="BM52" i="6" s="1"/>
  <c r="BM56" i="6" s="1"/>
  <c r="BM70" i="6" s="1"/>
  <c r="CM52" i="6"/>
  <c r="CM56" i="6" s="1"/>
  <c r="CM57" i="6" s="1"/>
  <c r="CM58" i="6" s="1"/>
  <c r="BI58" i="6"/>
  <c r="BK58" i="6"/>
  <c r="BL58" i="6"/>
  <c r="BN58" i="6"/>
  <c r="M62" i="6"/>
  <c r="M67" i="6"/>
  <c r="M45" i="6"/>
  <c r="N45" i="6"/>
  <c r="N52" i="6"/>
  <c r="N56" i="6" s="1"/>
  <c r="N67" i="6"/>
  <c r="CN62" i="6"/>
  <c r="BT68" i="6" l="1"/>
  <c r="BT46" i="6"/>
  <c r="BT52" i="6" s="1"/>
  <c r="BT56" i="6" s="1"/>
  <c r="BT69" i="6"/>
  <c r="BS58" i="6"/>
  <c r="BS59" i="6" s="1"/>
  <c r="BS70" i="6"/>
  <c r="BS67" i="6"/>
  <c r="BR56" i="6"/>
  <c r="BT62" i="6"/>
  <c r="BT67" i="6"/>
  <c r="DH24" i="6"/>
  <c r="DG64" i="6"/>
  <c r="DF36" i="6"/>
  <c r="DA67" i="6"/>
  <c r="DM60" i="6"/>
  <c r="DA70" i="6"/>
  <c r="BV40" i="6"/>
  <c r="BV44" i="6" s="1"/>
  <c r="BU67" i="6"/>
  <c r="DD51" i="6"/>
  <c r="DB52" i="6"/>
  <c r="DB56" i="6" s="1"/>
  <c r="DB67" i="6"/>
  <c r="BI59" i="6"/>
  <c r="BI97" i="6"/>
  <c r="BN59" i="6"/>
  <c r="BN97" i="6"/>
  <c r="BL59" i="6"/>
  <c r="BL97" i="6"/>
  <c r="BK59" i="6"/>
  <c r="BK97" i="6"/>
  <c r="BP70" i="6"/>
  <c r="BM58" i="6"/>
  <c r="CN52" i="6"/>
  <c r="CN56" i="6" s="1"/>
  <c r="N57" i="6"/>
  <c r="N58" i="6" s="1"/>
  <c r="BT70" i="6" l="1"/>
  <c r="BT58" i="6"/>
  <c r="BT59" i="6" s="1"/>
  <c r="BR58" i="6"/>
  <c r="BR59" i="6" s="1"/>
  <c r="BR70" i="6"/>
  <c r="DB57" i="6"/>
  <c r="DG36" i="6"/>
  <c r="BV62" i="6"/>
  <c r="BV67" i="6"/>
  <c r="DH64" i="6"/>
  <c r="DC44" i="6"/>
  <c r="DC62" i="6" s="1"/>
  <c r="DI24" i="6"/>
  <c r="DB78" i="6"/>
  <c r="DC55" i="6" s="1"/>
  <c r="DC40" i="6"/>
  <c r="DD40" i="6" s="1"/>
  <c r="BU62" i="6"/>
  <c r="DB58" i="6"/>
  <c r="DB59" i="6" s="1"/>
  <c r="DE51" i="6"/>
  <c r="BQ70" i="6"/>
  <c r="DB70" i="6"/>
  <c r="BM59" i="6"/>
  <c r="BM97" i="6"/>
  <c r="BP58" i="6"/>
  <c r="BQ58" i="6"/>
  <c r="CN67" i="6"/>
  <c r="CO67" i="6"/>
  <c r="N59" i="6"/>
  <c r="CN58" i="6"/>
  <c r="CN59" i="6" s="1"/>
  <c r="N70" i="6"/>
  <c r="BQ59" i="6" l="1"/>
  <c r="BQ97" i="6"/>
  <c r="DE40" i="6"/>
  <c r="DD44" i="6"/>
  <c r="DD62" i="6" s="1"/>
  <c r="DJ24" i="6"/>
  <c r="DI64" i="6"/>
  <c r="DH36" i="6"/>
  <c r="DC46" i="6"/>
  <c r="DF51" i="6"/>
  <c r="BP59" i="6"/>
  <c r="BP97" i="6"/>
  <c r="CP67" i="6"/>
  <c r="CO56" i="6"/>
  <c r="DI36" i="6" l="1"/>
  <c r="DK24" i="6"/>
  <c r="DJ64" i="6"/>
  <c r="DF40" i="6"/>
  <c r="DE44" i="6"/>
  <c r="DE62" i="6" s="1"/>
  <c r="DC45" i="6"/>
  <c r="DC52" i="6"/>
  <c r="DC56" i="6" s="1"/>
  <c r="DC57" i="6" s="1"/>
  <c r="DC58" i="6" s="1"/>
  <c r="DD46" i="6"/>
  <c r="CO58" i="6"/>
  <c r="CO59" i="6" s="1"/>
  <c r="CQ67" i="6"/>
  <c r="CQ52" i="6"/>
  <c r="DG40" i="6" l="1"/>
  <c r="DF44" i="6"/>
  <c r="DF62" i="6" s="1"/>
  <c r="DK64" i="6"/>
  <c r="DL24" i="6"/>
  <c r="DJ36" i="6"/>
  <c r="DC59" i="6"/>
  <c r="DC78" i="6"/>
  <c r="DE46" i="6"/>
  <c r="DD45" i="6"/>
  <c r="DD52" i="6"/>
  <c r="CR67" i="6"/>
  <c r="CR52" i="6"/>
  <c r="CR56" i="6" s="1"/>
  <c r="CP56" i="6"/>
  <c r="CP58" i="6" s="1"/>
  <c r="CP59" i="6" s="1"/>
  <c r="DK36" i="6" l="1"/>
  <c r="DM24" i="6"/>
  <c r="DL64" i="6"/>
  <c r="DH40" i="6"/>
  <c r="DG44" i="6"/>
  <c r="DD55" i="6"/>
  <c r="DD56" i="6" s="1"/>
  <c r="DD57" i="6" s="1"/>
  <c r="DD58" i="6" s="1"/>
  <c r="DF46" i="6"/>
  <c r="DE45" i="6"/>
  <c r="DE52" i="6"/>
  <c r="CQ56" i="6"/>
  <c r="CQ58" i="6" s="1"/>
  <c r="CS52" i="6"/>
  <c r="CS56" i="6" s="1"/>
  <c r="CS67" i="6"/>
  <c r="DG62" i="6" l="1"/>
  <c r="DG47" i="6"/>
  <c r="DG51" i="6" s="1"/>
  <c r="DM64" i="6"/>
  <c r="DI40" i="6"/>
  <c r="DH44" i="6"/>
  <c r="DL36" i="6"/>
  <c r="DD59" i="6"/>
  <c r="DD78" i="6"/>
  <c r="DG46" i="6"/>
  <c r="DF45" i="6"/>
  <c r="DF52" i="6"/>
  <c r="CR58" i="6"/>
  <c r="CS58" i="6" s="1"/>
  <c r="DH62" i="6" l="1"/>
  <c r="DH47" i="6"/>
  <c r="DH51" i="6" s="1"/>
  <c r="DM36" i="6"/>
  <c r="DJ40" i="6"/>
  <c r="DI44" i="6"/>
  <c r="DI47" i="6" s="1"/>
  <c r="DI51" i="6" s="1"/>
  <c r="DE55" i="6"/>
  <c r="DE56" i="6" s="1"/>
  <c r="DE57" i="6" s="1"/>
  <c r="DE58" i="6" s="1"/>
  <c r="DG45" i="6"/>
  <c r="DG52" i="6"/>
  <c r="DH46" i="6"/>
  <c r="DH52" i="6" l="1"/>
  <c r="DE59" i="6"/>
  <c r="DI62" i="6"/>
  <c r="DI46" i="6"/>
  <c r="DI52" i="6" s="1"/>
  <c r="DK40" i="6"/>
  <c r="DJ44" i="6"/>
  <c r="DJ47" i="6" s="1"/>
  <c r="DJ51" i="6" s="1"/>
  <c r="DE78" i="6"/>
  <c r="DH45" i="6"/>
  <c r="DJ46" i="6" l="1"/>
  <c r="DJ52" i="6" s="1"/>
  <c r="DJ62" i="6"/>
  <c r="DL40" i="6"/>
  <c r="DK44" i="6"/>
  <c r="DK47" i="6" s="1"/>
  <c r="DK51" i="6" s="1"/>
  <c r="DI45" i="6"/>
  <c r="DF55" i="6"/>
  <c r="DF56" i="6" s="1"/>
  <c r="DF57" i="6" s="1"/>
  <c r="DF58" i="6" s="1"/>
  <c r="AR40" i="6"/>
  <c r="AR44" i="6" s="1"/>
  <c r="DJ45" i="6" l="1"/>
  <c r="DK46" i="6"/>
  <c r="DK52" i="6" s="1"/>
  <c r="DK62" i="6"/>
  <c r="DM40" i="6"/>
  <c r="DM44" i="6" s="1"/>
  <c r="DM47" i="6" s="1"/>
  <c r="DM51" i="6" s="1"/>
  <c r="DL44" i="6"/>
  <c r="DL47" i="6" s="1"/>
  <c r="DL51" i="6" s="1"/>
  <c r="DF59" i="6"/>
  <c r="DF78" i="6"/>
  <c r="AR68" i="6"/>
  <c r="AR46" i="6"/>
  <c r="AR62" i="6"/>
  <c r="AV62" i="6"/>
  <c r="AR69" i="6"/>
  <c r="DK45" i="6" l="1"/>
  <c r="DL46" i="6"/>
  <c r="DL52" i="6" s="1"/>
  <c r="DL62" i="6"/>
  <c r="DM62" i="6"/>
  <c r="DM46" i="6"/>
  <c r="DM52" i="6" s="1"/>
  <c r="DG55" i="6"/>
  <c r="DG56" i="6" s="1"/>
  <c r="DG57" i="6" s="1"/>
  <c r="DG58" i="6" s="1"/>
  <c r="AR67" i="6"/>
  <c r="AR52" i="6"/>
  <c r="AR56" i="6" s="1"/>
  <c r="DL45" i="6" l="1"/>
  <c r="DM45" i="6"/>
  <c r="DG59" i="6"/>
  <c r="DG78" i="6"/>
  <c r="AR58" i="6"/>
  <c r="AR70" i="6"/>
  <c r="DH55" i="6" l="1"/>
  <c r="DH56" i="6" s="1"/>
  <c r="DH57" i="6" s="1"/>
  <c r="DH58" i="6" s="1"/>
  <c r="AR97" i="6"/>
  <c r="AR59" i="6"/>
  <c r="DH59" i="6" l="1"/>
  <c r="DH78" i="6"/>
  <c r="DI55" i="6" l="1"/>
  <c r="DI56" i="6" s="1"/>
  <c r="DI57" i="6" l="1"/>
  <c r="DI58" i="6" s="1"/>
  <c r="DI59" i="6" l="1"/>
  <c r="DI78" i="6"/>
  <c r="DJ55" i="6" l="1"/>
  <c r="DJ56" i="6" s="1"/>
  <c r="DJ57" i="6" l="1"/>
  <c r="DJ58" i="6" s="1"/>
  <c r="DJ59" i="6" l="1"/>
  <c r="DJ78" i="6"/>
  <c r="DK55" i="6" l="1"/>
  <c r="DK56" i="6" s="1"/>
  <c r="DK57" i="6" l="1"/>
  <c r="DK58" i="6" s="1"/>
  <c r="DK59" i="6" l="1"/>
  <c r="DK78" i="6"/>
  <c r="DL55" i="6" l="1"/>
  <c r="DL56" i="6" s="1"/>
  <c r="DL57" i="6" l="1"/>
  <c r="DL58" i="6" s="1"/>
  <c r="DL59" i="6" l="1"/>
  <c r="DL78" i="6"/>
  <c r="DM55" i="6" s="1"/>
  <c r="DM56" i="6" l="1"/>
  <c r="DM57" i="6" l="1"/>
  <c r="DM58" i="6" s="1"/>
  <c r="DN58" i="6" s="1"/>
  <c r="DM59" i="6" l="1"/>
  <c r="DO58" i="6"/>
  <c r="DP58" i="6" s="1"/>
  <c r="DQ58" i="6" s="1"/>
  <c r="DR58" i="6" s="1"/>
  <c r="DS58" i="6" s="1"/>
  <c r="DT58" i="6" s="1"/>
  <c r="DU58" i="6" s="1"/>
  <c r="DV58" i="6" s="1"/>
  <c r="DW58" i="6" s="1"/>
  <c r="DX58" i="6" s="1"/>
  <c r="DY58" i="6" s="1"/>
  <c r="DZ58" i="6" s="1"/>
  <c r="EA58" i="6" s="1"/>
  <c r="EB58" i="6" s="1"/>
  <c r="EC58" i="6" s="1"/>
  <c r="ED58" i="6" s="1"/>
  <c r="EE58" i="6" s="1"/>
  <c r="EF58" i="6" s="1"/>
  <c r="EG58" i="6" s="1"/>
  <c r="EH58" i="6" s="1"/>
  <c r="EI58" i="6" s="1"/>
  <c r="EJ58" i="6" s="1"/>
  <c r="EK58" i="6" s="1"/>
  <c r="EL58" i="6" s="1"/>
  <c r="EM58" i="6" s="1"/>
  <c r="EN58" i="6" s="1"/>
  <c r="EO58" i="6" s="1"/>
  <c r="EP58" i="6" s="1"/>
  <c r="EQ58" i="6" s="1"/>
  <c r="ER58" i="6" s="1"/>
  <c r="ES58" i="6" s="1"/>
  <c r="DQ63" i="6" s="1"/>
  <c r="DQ64" i="6" s="1"/>
  <c r="DM78" i="6"/>
  <c r="DQ66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  <author>tc={3B92B335-E58B-40DC-9807-96EE726A5570}</author>
    <author>tc={4B25D5DC-5DF9-4DD5-8D02-41808FE69F0C}</author>
  </authors>
  <commentList>
    <comment ref="BK31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31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48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CD53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E53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F53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DA57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60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60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60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60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62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DA63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DB63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  <comment ref="DC63" authorId="12" shapeId="0" xr:uid="{3B92B335-E58B-40DC-9807-96EE726A5570}">
      <text>
        <t>[Threaded comment]
Your version of Excel allows you to read this threaded comment; however, any edits to it will get removed if the file is opened in a newer version of Excel. Learn more: https://go.microsoft.com/fwlink/?linkid=870924
Comment:
    7/29/25: 8-14%
5/7/25: 13-21%
2/5/25: 16-24%</t>
      </text>
    </comment>
    <comment ref="BT64" authorId="13" shapeId="0" xr:uid="{4B25D5DC-5DF9-4DD5-8D02-41808FE69F0C}">
      <text>
        <t>[Threaded comment]
Your version of Excel allows you to read this threaded comment; however, any edits to it will get removed if the file is opened in a newer version of Excel. Learn more: https://go.microsoft.com/fwlink/?linkid=870924
Comment:
    15% CER</t>
      </text>
    </comment>
  </commentList>
</comments>
</file>

<file path=xl/sharedStrings.xml><?xml version="1.0" encoding="utf-8"?>
<sst xmlns="http://schemas.openxmlformats.org/spreadsheetml/2006/main" count="891" uniqueCount="636">
  <si>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</si>
  <si>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</si>
  <si>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</si>
  <si>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</si>
  <si>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</si>
  <si>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</si>
  <si>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</si>
  <si>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</si>
  <si>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</si>
  <si>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</si>
  <si>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</si>
  <si>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</si>
  <si>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</si>
  <si>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</si>
  <si>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</si>
  <si>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</si>
  <si>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</si>
  <si>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</si>
  <si>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</si>
  <si>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</si>
  <si>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</si>
  <si>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</si>
  <si>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</si>
  <si>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</si>
  <si>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</si>
  <si>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</si>
  <si>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</si>
  <si>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</si>
  <si>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</si>
  <si>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</si>
  <si>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</si>
  <si>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</si>
  <si>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</si>
  <si>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</si>
  <si>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</si>
  <si>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</si>
  <si>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</si>
  <si>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</si>
  <si>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</si>
  <si>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</si>
  <si>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</si>
  <si>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</si>
  <si>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</si>
  <si>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</si>
  <si>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</si>
  <si>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</si>
  <si>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</si>
  <si>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</si>
  <si>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</si>
  <si>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</si>
  <si>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</si>
  <si>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</si>
  <si>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</si>
  <si>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</si>
  <si>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</si>
  <si>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</si>
  <si>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</si>
  <si>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</si>
  <si>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</si>
  <si>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</si>
  <si>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</si>
  <si>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</si>
  <si>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</si>
  <si>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</si>
  <si>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</si>
  <si>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</si>
  <si>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</si>
  <si>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</si>
  <si>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</si>
  <si>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</si>
  <si>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</si>
  <si>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</si>
  <si>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</si>
  <si>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</si>
  <si>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</si>
  <si>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</si>
  <si>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</si>
  <si>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</si>
  <si>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</si>
  <si>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</si>
  <si>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</si>
  <si>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</si>
  <si>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</si>
  <si>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</si>
  <si>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</si>
  <si>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</si>
  <si>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</si>
  <si>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</si>
  <si>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</si>
  <si>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</si>
  <si>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</si>
  <si>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</si>
  <si>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</si>
  <si>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</si>
  <si>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</si>
  <si>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</si>
  <si>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</si>
  <si>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</si>
  <si>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</si>
  <si>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</si>
  <si>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</si>
  <si>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</si>
  <si>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</si>
  <si>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</si>
  <si>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</si>
  <si>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</si>
  <si>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</si>
  <si>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</si>
  <si>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</si>
  <si>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</si>
  <si>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</si>
  <si>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</si>
  <si>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</si>
  <si>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</si>
  <si>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</si>
  <si>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</si>
  <si>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</si>
  <si>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</si>
  <si>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</si>
  <si>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</si>
  <si>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</si>
  <si>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</si>
  <si>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</si>
  <si>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</si>
  <si>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</si>
  <si>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</si>
  <si>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</si>
  <si>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</si>
  <si>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</si>
  <si>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</si>
  <si>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</si>
  <si>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</si>
  <si>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</si>
  <si>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</si>
  <si>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</si>
  <si>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</si>
  <si>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</si>
  <si>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</si>
  <si>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</si>
  <si>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</si>
  <si>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</si>
  <si>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</si>
  <si>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</si>
  <si>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</si>
  <si>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</si>
  <si>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</si>
  <si>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</si>
  <si>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</si>
  <si>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</si>
  <si>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</si>
  <si>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</si>
  <si>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</si>
  <si>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</si>
  <si>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</si>
  <si>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</si>
  <si>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</si>
  <si>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</si>
  <si>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</si>
  <si>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</si>
  <si>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</si>
  <si>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</si>
  <si>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</si>
  <si>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</si>
  <si>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</si>
  <si>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</si>
  <si>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</si>
  <si>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</si>
  <si>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</si>
  <si>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</si>
  <si>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</si>
  <si>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</si>
  <si>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</si>
  <si>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</si>
  <si>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</si>
  <si>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</si>
  <si>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</si>
  <si>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</si>
  <si>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</si>
  <si>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</si>
  <si>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</si>
  <si>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</si>
  <si>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</si>
  <si>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</si>
  <si>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</si>
  <si>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</si>
  <si>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</si>
  <si>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</si>
  <si>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</si>
  <si>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</si>
  <si>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</si>
  <si>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</si>
  <si>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</si>
  <si>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</si>
  <si>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</si>
  <si>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</si>
  <si>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</si>
  <si>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</si>
  <si>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</si>
  <si>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</si>
  <si>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</si>
  <si>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</si>
  <si>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</si>
  <si>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</si>
  <si>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</si>
  <si>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</si>
  <si>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</si>
  <si>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</si>
  <si>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</si>
  <si>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</si>
  <si>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</si>
  <si>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</si>
  <si>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</si>
  <si>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</si>
  <si>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</si>
  <si>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</si>
  <si>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</si>
  <si>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</si>
  <si>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</si>
  <si>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</si>
  <si>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</si>
  <si>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</si>
  <si>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</si>
  <si>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</si>
  <si>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</si>
  <si>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</si>
  <si>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</si>
  <si>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</si>
  <si>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</si>
  <si>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</si>
  <si>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</si>
  <si>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</si>
  <si>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</si>
  <si>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</si>
  <si>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</si>
  <si>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</si>
  <si>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</si>
  <si>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</si>
  <si>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</si>
  <si>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</si>
  <si>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</si>
  <si>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</si>
  <si>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</si>
  <si>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</si>
  <si>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</si>
  <si>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</si>
  <si>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</si>
  <si>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</si>
  <si>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</si>
  <si>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</si>
  <si>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</si>
  <si>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</si>
  <si>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</si>
  <si>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</si>
  <si>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</si>
  <si>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</si>
  <si>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</si>
  <si>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</si>
  <si>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</si>
  <si>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</si>
  <si>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</si>
  <si>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</si>
  <si>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</si>
  <si>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</si>
  <si>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</si>
  <si>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</si>
  <si>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</si>
  <si>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</si>
  <si>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</si>
  <si>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</si>
  <si>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</si>
  <si>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</si>
  <si>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</si>
  <si>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</si>
  <si>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</si>
  <si>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</si>
  <si>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</si>
  <si>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</si>
  <si>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</si>
  <si>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</si>
  <si>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</si>
  <si>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</si>
  <si>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</si>
  <si>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</si>
  <si>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</si>
  <si>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</si>
  <si>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</si>
  <si>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</si>
  <si>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</si>
  <si>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</si>
  <si>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</si>
  <si>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</si>
  <si>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</si>
  <si>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</si>
  <si>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</si>
  <si>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</si>
  <si>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</si>
  <si>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</si>
  <si>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</si>
  <si>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</si>
  <si>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</si>
  <si>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</si>
  <si>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</si>
  <si>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</si>
  <si>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</si>
  <si>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</si>
  <si>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</si>
  <si>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</si>
  <si>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</si>
  <si>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</si>
  <si>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</si>
  <si>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</si>
  <si>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</si>
  <si>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</si>
  <si>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</si>
  <si>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</si>
  <si>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</si>
  <si>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</si>
  <si>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</si>
  <si>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</si>
  <si>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</si>
  <si>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</si>
  <si>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</si>
  <si>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</si>
  <si>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</si>
  <si>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</si>
  <si>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</si>
  <si>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</si>
  <si>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</si>
  <si>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</si>
  <si>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</si>
  <si>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</si>
  <si>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</si>
  <si>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</si>
  <si>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</si>
  <si>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</si>
  <si>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</si>
  <si>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</si>
  <si>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</si>
  <si>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</si>
  <si>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</si>
  <si>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</si>
  <si>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</si>
  <si>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</si>
  <si>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</si>
  <si>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</si>
  <si>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</si>
  <si>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</si>
  <si>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</si>
  <si>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</si>
  <si>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</si>
  <si>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</si>
  <si>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</si>
  <si>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</si>
  <si>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</si>
  <si>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</si>
  <si>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</si>
  <si>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</si>
  <si>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</si>
  <si>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</si>
  <si>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</si>
  <si>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</si>
  <si>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</si>
  <si>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</si>
  <si>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</si>
  <si>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</si>
  <si>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</si>
  <si>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</si>
  <si>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</si>
  <si>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</si>
  <si>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</si>
  <si>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</si>
  <si>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</si>
  <si>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</si>
  <si>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</si>
  <si>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</si>
  <si>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</si>
  <si>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</si>
  <si>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</si>
  <si>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</si>
  <si>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</si>
  <si>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</si>
  <si>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</si>
  <si>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</si>
  <si>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</si>
  <si>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</si>
  <si>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</si>
  <si>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</si>
  <si>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</si>
  <si>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</si>
  <si>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</si>
  <si>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</si>
  <si>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</si>
  <si>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</si>
  <si>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</si>
  <si>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</si>
  <si>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</si>
  <si>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</si>
  <si>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</si>
  <si>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</si>
  <si>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</si>
  <si>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</si>
  <si>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</si>
  <si>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</si>
  <si>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</si>
  <si>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</si>
  <si>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</si>
  <si>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</si>
  <si>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</si>
  <si>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</si>
  <si>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</si>
  <si>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</si>
  <si>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</si>
  <si>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</si>
  <si>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</si>
  <si>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</si>
  <si>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</si>
  <si>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</si>
  <si>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</si>
  <si>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</si>
  <si>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</si>
  <si>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</si>
  <si>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</si>
  <si>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</si>
  <si>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</si>
  <si>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</si>
  <si>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</si>
  <si>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</si>
  <si>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</si>
  <si>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</si>
  <si>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</si>
  <si>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</si>
  <si>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</si>
  <si>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</si>
  <si>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</si>
  <si>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</si>
  <si>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</si>
  <si>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</si>
  <si>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</si>
  <si>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</si>
  <si>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</si>
  <si>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</si>
  <si>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</si>
  <si>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</si>
  <si>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</si>
  <si>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</si>
  <si>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</si>
  <si>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</si>
  <si>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</si>
  <si>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</si>
  <si>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</si>
  <si>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</si>
  <si>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</si>
  <si>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</si>
  <si>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</si>
  <si>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</si>
  <si>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</si>
  <si>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</si>
  <si>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</si>
  <si>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</si>
  <si>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</si>
  <si>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</si>
  <si>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</si>
  <si>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</si>
  <si>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</si>
  <si>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</si>
  <si>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</si>
  <si>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</si>
  <si>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</si>
  <si>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</si>
  <si>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</si>
  <si>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</si>
  <si>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</si>
  <si>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</si>
  <si>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</si>
  <si>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</si>
  <si>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</si>
  <si>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</si>
  <si>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</si>
  <si>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</si>
  <si>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</si>
  <si>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</si>
  <si>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</si>
  <si>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</si>
  <si>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</si>
  <si>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</si>
  <si>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</si>
  <si>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</si>
  <si>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</si>
  <si>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</si>
  <si>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</si>
  <si>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</si>
  <si>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</si>
  <si>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</si>
  <si>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</si>
  <si>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</si>
  <si>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</si>
  <si>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</si>
  <si>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</si>
  <si>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</si>
  <si>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</si>
  <si>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</si>
  <si>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</si>
  <si>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</si>
  <si>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</si>
  <si>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</si>
  <si>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</si>
  <si>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</si>
  <si>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</si>
  <si>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</si>
  <si>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</si>
  <si>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</si>
  <si>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</si>
  <si>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</si>
  <si>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</si>
  <si>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</si>
  <si>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</si>
  <si>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</si>
  <si>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</si>
  <si>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</si>
  <si>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</si>
  <si>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</si>
  <si>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</si>
  <si>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</si>
  <si>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</si>
  <si>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</si>
  <si>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</si>
  <si>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</si>
  <si>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</si>
  <si>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</si>
  <si>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</si>
  <si>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</si>
  <si>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</si>
  <si>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</si>
  <si>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</si>
  <si>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</si>
  <si>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</si>
  <si>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</si>
  <si>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</si>
  <si>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</si>
  <si>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</si>
  <si>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</si>
  <si>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</si>
  <si>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</si>
  <si>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</si>
  <si>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</si>
  <si>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</si>
  <si>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</si>
  <si>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</si>
  <si>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</si>
  <si>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</si>
  <si>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</si>
  <si>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</si>
  <si>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</si>
  <si>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</si>
  <si>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</si>
  <si>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</si>
  <si>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</si>
  <si>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</si>
  <si>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</si>
  <si>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</si>
  <si>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</si>
  <si>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</si>
  <si>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</si>
  <si>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</si>
  <si>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</si>
  <si>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</si>
  <si>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</si>
  <si>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</si>
  <si>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</si>
  <si>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</si>
  <si>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</si>
  <si>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</si>
  <si>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</si>
  <si>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</si>
  <si>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</si>
  <si>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</si>
  <si>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</si>
  <si>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</si>
  <si>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</si>
  <si>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</si>
  <si>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</si>
  <si>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</si>
  <si>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</si>
  <si>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</si>
  <si>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</si>
  <si>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</si>
  <si>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</si>
  <si>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</si>
  <si>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</si>
  <si>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</si>
  <si>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</si>
  <si>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</si>
  <si>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</si>
  <si>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</si>
  <si>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</si>
  <si>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</si>
  <si>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</si>
  <si>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</si>
  <si>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</si>
  <si>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</si>
  <si>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</si>
  <si>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</si>
  <si>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</si>
  <si>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</si>
  <si>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</si>
  <si>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</si>
  <si>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</si>
  <si>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</si>
  <si>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</si>
  <si>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</si>
  <si>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</si>
  <si>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</si>
  <si>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</si>
  <si>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</si>
  <si>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</si>
  <si>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</si>
  <si>
    <t>CEO: Lars Jorgensen fired.</t>
  </si>
  <si>
    <t>5/7/25: Q125</t>
  </si>
  <si>
    <t>Filing BLA Q116</t>
  </si>
  <si>
    <t>15.7% weight loss</t>
  </si>
  <si>
    <t>Phase IIIa "REDEFINE 2" 68-week trial n=1200 obesity in T2D</t>
  </si>
  <si>
    <t>EVP, People: Tania Sabroe</t>
  </si>
  <si>
    <t>EVP Quality, IT: Thilde Hummel Bogebjerg</t>
  </si>
  <si>
    <t>EVP, Commercial: Camilla Sylvest fired</t>
  </si>
  <si>
    <t>EVP Product &amp; Portfolio Strategy: Ludovic Helfgott</t>
  </si>
  <si>
    <t>Q126</t>
  </si>
  <si>
    <t>Q226</t>
  </si>
  <si>
    <t>Q326</t>
  </si>
  <si>
    <t>Q426</t>
  </si>
  <si>
    <t>Mounjaro</t>
  </si>
  <si>
    <t>Zepbound</t>
  </si>
  <si>
    <t>Trulicity</t>
  </si>
  <si>
    <t>GLP-1 Class</t>
  </si>
  <si>
    <t xml:space="preserve">  Class growth</t>
  </si>
  <si>
    <t xml:space="preserve">  Lilly growth</t>
  </si>
  <si>
    <t xml:space="preserve">  Novo growth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</si>
</sst>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3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  <font>
      <strike/>
      <sz val="10"/>
      <name val="Arial"/>
      <family val="2"/>
    </font>
    <font>
      <sz val="9"/>
      <color indexed="81"/>
      <name val="Tahoma"/>
      <family val="2"/>
    </font>
    <font>
      <b/>
      <i/>
      <sz val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104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  <xf numFmtId="0" fontId="20" fillId="5" borderId="0" xfId="0" applyFont="1" applyFill="1"/>
    <xf numFmtId="164" fontId="12" fillId="0" borderId="0" xfId="3" applyFont="1" applyFill="1" applyBorder="1" applyAlignment="1"/>
    <xf numFmtId="0" fontId="12" fillId="0" borderId="0" xfId="3" applyNumberFormat="1" applyFont="1" applyFill="1" applyBorder="1" applyAlignment="1">
      <alignment horizontal="left"/>
    </xf>
    <xf numFmtId="0" fontId="12" fillId="0" borderId="0" xfId="3" applyNumberFormat="1" applyFont="1" applyFill="1" applyBorder="1" applyAlignment="1">
      <alignment horizontal="right"/>
    </xf>
    <xf numFmtId="164" fontId="12" fillId="0" borderId="0" xfId="3" quotePrefix="1" applyFont="1" applyFill="1" applyBorder="1" applyAlignment="1">
      <alignment horizontal="right"/>
    </xf>
    <xf numFmtId="1" fontId="12" fillId="0" borderId="0" xfId="3" applyNumberFormat="1" applyFont="1" applyBorder="1" applyAlignment="1"/>
    <xf numFmtId="164" fontId="12" fillId="0" borderId="0" xfId="3" applyFont="1" applyBorder="1" applyAlignment="1"/>
    <xf numFmtId="3" fontId="12" fillId="0" borderId="0" xfId="3" applyNumberFormat="1" applyFont="1" applyFill="1" applyBorder="1" applyAlignment="1">
      <alignment horizontal="right"/>
    </xf>
    <xf numFmtId="0" fontId="3" fillId="0" borderId="0" xfId="3" applyNumberFormat="1" applyFont="1" applyFill="1" applyBorder="1" applyAlignment="1">
      <alignment horizontal="left"/>
    </xf>
    <xf numFmtId="0" fontId="3" fillId="0" borderId="0" xfId="3" applyNumberFormat="1" applyFont="1" applyFill="1" applyBorder="1" applyAlignment="1">
      <alignment horizontal="right"/>
    </xf>
    <xf numFmtId="164" fontId="3" fillId="0" borderId="0" xfId="3" quotePrefix="1" applyFont="1" applyFill="1" applyBorder="1" applyAlignment="1">
      <alignment horizontal="right"/>
    </xf>
    <xf numFmtId="1" fontId="3" fillId="0" borderId="0" xfId="3" applyNumberFormat="1" applyFont="1" applyBorder="1" applyAlignment="1"/>
    <xf numFmtId="9" fontId="12" fillId="0" borderId="0" xfId="3" applyNumberFormat="1" applyFont="1" applyFill="1" applyBorder="1" applyAlignment="1">
      <alignment horizontal="right"/>
    </xf>
    <xf numFmtId="3" fontId="22" fillId="0" borderId="0" xfId="3" applyNumberFormat="1" applyFont="1" applyBorder="1" applyAlignment="1"/>
    <xf numFmtId="3" fontId="12" fillId="0" borderId="0" xfId="3" applyNumberFormat="1" applyFont="1" applyBorder="1" applyAlignment="1"/>
    <xf numFmtId="9" fontId="12" fillId="0" borderId="0" xfId="3" applyNumberFormat="1" applyFont="1" applyBorder="1" applyAlignment="1"/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microsoft.com/office/2017/10/relationships/person" Target="persons/perso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73</xdr:col>
      <xdr:colOff>42127</xdr:colOff>
      <xdr:row>0</xdr:row>
      <xdr:rowOff>0</xdr:rowOff>
    </xdr:from>
    <xdr:to>
      <xdr:col>73</xdr:col>
      <xdr:colOff>42127</xdr:colOff>
      <xdr:row>130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8065927" y="0"/>
          <a:ext cx="0" cy="19924110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106</xdr:col>
      <xdr:colOff>12718</xdr:colOff>
      <xdr:row>0</xdr:row>
      <xdr:rowOff>0</xdr:rowOff>
    </xdr:from>
    <xdr:to>
      <xdr:col>106</xdr:col>
      <xdr:colOff>12718</xdr:colOff>
      <xdr:row>118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392632" y="0"/>
          <a:ext cx="0" cy="1796493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49</xdr:row>
      <xdr:rowOff>0</xdr:rowOff>
    </xdr:from>
    <xdr:to>
      <xdr:col>16</xdr:col>
      <xdr:colOff>486834</xdr:colOff>
      <xdr:row>72</xdr:row>
      <xdr:rowOff>60936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22</xdr:row>
      <xdr:rowOff>135467</xdr:rowOff>
    </xdr:from>
    <xdr:to>
      <xdr:col>11</xdr:col>
      <xdr:colOff>245533</xdr:colOff>
      <xdr:row>47</xdr:row>
      <xdr:rowOff>52379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31" dT="2024-07-22T03:57:00.93" personId="{00000000-0000-0000-0000-000000000000}" id="{4E90398B-646D-5643-9D89-4C3AF79DEDF1}">
    <text>Commercial relaunch</text>
  </threadedComment>
  <threadedComment ref="BQ31" dT="2024-11-28T00:36:43.27" personId="{00000000-0000-0000-0000-000000000000}" id="{2F1EECAE-742F-D845-B651-0627E7436BC6}">
    <text>215k weekly rx</text>
  </threadedComment>
  <threadedComment ref="BP48" dT="2024-09-15T05:22:36.07" personId="{00000000-0000-0000-0000-000000000000}" id="{0ED5B048-AC4B-4050-A927-E9292D9D579E}">
    <text>5700 from discontinuation of ocedurenone</text>
  </threadedComment>
  <threadedComment ref="DA57" dT="2024-07-18T20:50:19.12" personId="{00000000-0000-0000-0000-000000000000}" id="{5BF5DD5A-50AF-5149-B40C-A7B446AB8565}">
    <text>Q423: 19-21% guidance</text>
  </threadedComment>
  <threadedComment ref="BG60" dT="2024-07-19T21:24:00.19" personId="{00000000-0000-0000-0000-000000000000}" id="{6D322A2D-C88D-2D40-8733-F5FA80A267B8}">
    <text>Originally 2283.3</text>
  </threadedComment>
  <threadedComment ref="BH60" dT="2024-07-22T03:40:37.58" personId="{00000000-0000-0000-0000-000000000000}" id="{37B6553A-D6E9-2D40-9C85-C131679F4E95}">
    <text>2279.7 1H22</text>
  </threadedComment>
  <threadedComment ref="BK60" dT="2024-07-19T21:23:31.59" personId="{00000000-0000-0000-0000-000000000000}" id="{70705836-FC25-054F-89C8-C9C6680D3790}">
    <text>Originally 2256.6</text>
  </threadedComment>
  <threadedComment ref="BL60" dT="2024-07-23T16:56:55.16" personId="{00000000-0000-0000-0000-000000000000}" id="{D0DA8EF7-B409-2949-8495-7811173631A2}">
    <text>2251.3 pre-split</text>
  </threadedComment>
  <threadedComment ref="BK62" dT="2023-05-16T03:34:34.88" personId="{00000000-0000-0000-0000-000000000000}" id="{FF59098B-CDEA-4E95-99E9-B148257A5966}">
    <text>25% CER</text>
  </threadedComment>
  <threadedComment ref="DA63" dT="2024-07-19T16:50:58.63" personId="{00000000-0000-0000-0000-000000000000}" id="{DACFF6BC-4E3F-0C45-93E4-F67CD65DD4CC}">
    <text>Q223: 27-33%
4/13/23: 24-30%
2/1/23: 13-19%</text>
  </threadedComment>
  <threadedComment ref="DB63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  <threadedComment ref="DC63" dT="2025-07-30T13:56:56.77" personId="{00000000-0000-0000-0000-000000000000}" id="{3B92B335-E58B-40DC-9807-96EE726A5570}">
    <text>7/29/25: 8-14%
5/7/25: 13-21%
2/5/25: 16-24%</text>
  </threadedComment>
  <threadedComment ref="BT64" dT="2025-12-01T16:32:50.55" personId="{00000000-0000-0000-0000-000000000000}" id="{4B25D5DC-5DF9-4DD5-8D02-41808FE69F0C}">
    <text>15%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90" zoomScaleNormal="190" workbookViewId="0">
      <selection activeCell="F17" sqref="F17"/>
    </sheetView>
  </sheetViews>
  <sheetFormatPr defaultColWidth="11.453125" defaultRowHeight="12.5"/>
  <cols>
    <col min="1" max="1" width="4.8164062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359</v>
      </c>
      <c r="E2" s="60" t="s">
        <v>1</v>
      </c>
      <c r="F2" s="60" t="s">
        <v>377</v>
      </c>
      <c r="G2" s="60" t="s">
        <v>318</v>
      </c>
    </row>
    <row r="3" spans="1:7">
      <c r="C3" s="60" t="s">
        <v>360</v>
      </c>
      <c r="D3" s="60" t="s">
        <v>361</v>
      </c>
      <c r="E3" s="60" t="s">
        <v>362</v>
      </c>
    </row>
    <row r="4" spans="1:7">
      <c r="E4" s="60" t="s">
        <v>379</v>
      </c>
      <c r="F4" s="60" t="s">
        <v>378</v>
      </c>
    </row>
    <row r="5" spans="1:7">
      <c r="E5" s="60" t="s">
        <v>400</v>
      </c>
      <c r="F5" s="60" t="s">
        <v>399</v>
      </c>
      <c r="G5" s="60" t="s">
        <v>401</v>
      </c>
    </row>
    <row r="6" spans="1:7">
      <c r="B6" s="60" t="s">
        <v>408</v>
      </c>
      <c r="E6" s="60" t="s">
        <v>400</v>
      </c>
    </row>
    <row r="8" spans="1:7" s="24" customFormat="1">
      <c r="B8" s="19" t="s">
        <v>330</v>
      </c>
      <c r="C8" s="26" t="s">
        <v>331</v>
      </c>
      <c r="D8" s="26"/>
      <c r="E8" s="24" t="s">
        <v>433</v>
      </c>
      <c r="F8" s="26"/>
      <c r="G8" s="30"/>
    </row>
    <row r="9" spans="1:7">
      <c r="B9" s="26" t="s">
        <v>260</v>
      </c>
      <c r="C9" s="26" t="s">
        <v>333</v>
      </c>
      <c r="D9" s="26" t="s">
        <v>53</v>
      </c>
      <c r="E9" s="74" t="s">
        <v>437</v>
      </c>
      <c r="F9" s="30" t="s">
        <v>363</v>
      </c>
    </row>
    <row r="10" spans="1:7">
      <c r="B10" s="60" t="s">
        <v>478</v>
      </c>
      <c r="D10" s="76" t="s">
        <v>53</v>
      </c>
    </row>
    <row r="11" spans="1:7">
      <c r="B11" s="60" t="s">
        <v>479</v>
      </c>
    </row>
    <row r="12" spans="1:7">
      <c r="B12" t="s">
        <v>480</v>
      </c>
      <c r="F12" s="60" t="s">
        <v>476</v>
      </c>
    </row>
    <row r="13" spans="1:7">
      <c r="B13" t="s">
        <v>481</v>
      </c>
      <c r="E13" t="s">
        <v>222</v>
      </c>
    </row>
    <row r="14" spans="1:7">
      <c r="B14" t="s">
        <v>482</v>
      </c>
      <c r="E14" t="s">
        <v>222</v>
      </c>
    </row>
    <row r="15" spans="1:7">
      <c r="B15" t="s">
        <v>487</v>
      </c>
    </row>
    <row r="16" spans="1:7">
      <c r="B16" t="s">
        <v>488</v>
      </c>
    </row>
    <row r="17" spans="2:6">
      <c r="B17" t="s">
        <v>489</v>
      </c>
      <c r="E17" s="60" t="s">
        <v>179</v>
      </c>
    </row>
    <row r="18" spans="2:6">
      <c r="B18" s="60" t="s">
        <v>490</v>
      </c>
      <c r="F18" s="60" t="s">
        <v>18</v>
      </c>
    </row>
    <row r="19" spans="2:6">
      <c r="B19" s="60" t="s">
        <v>491</v>
      </c>
      <c r="F19" s="60"/>
    </row>
    <row r="20" spans="2:6">
      <c r="B20" s="60" t="s">
        <v>492</v>
      </c>
      <c r="C20" s="60" t="s">
        <v>315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264</v>
      </c>
    </row>
    <row r="5" spans="1:3">
      <c r="B5" s="24" t="s">
        <v>230</v>
      </c>
      <c r="C5" s="24" t="s">
        <v>265</v>
      </c>
    </row>
    <row r="6" spans="1:3">
      <c r="B6" s="1" t="s">
        <v>157</v>
      </c>
    </row>
    <row r="7" spans="1:3" ht="13">
      <c r="C7" s="4" t="s">
        <v>158</v>
      </c>
    </row>
    <row r="9" spans="1:3" ht="13">
      <c r="C9" s="4" t="s">
        <v>159</v>
      </c>
    </row>
    <row r="11" spans="1:3" ht="13">
      <c r="C11" s="4" t="s">
        <v>160</v>
      </c>
    </row>
    <row r="13" spans="1:3" ht="13">
      <c r="C13" s="4" t="s">
        <v>161</v>
      </c>
    </row>
    <row r="15" spans="1:3" ht="1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796875" defaultRowHeight="12.5"/>
  <cols>
    <col min="1" max="1" width="5" style="1" bestFit="1" customWidth="1"/>
    <col min="2" max="2" width="12.81640625" style="1" bestFit="1" customWidth="1"/>
    <col min="3" max="16384" width="9.179687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53125" defaultRowHeight="12.5"/>
  <cols>
    <col min="1" max="1" width="4.81640625" bestFit="1" customWidth="1"/>
    <col min="2" max="2" width="8.726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371</v>
      </c>
    </row>
    <row r="3" spans="1:3">
      <c r="B3" s="60" t="s">
        <v>1</v>
      </c>
      <c r="C3" s="60" t="s">
        <v>387</v>
      </c>
    </row>
    <row r="4" spans="1:3">
      <c r="B4" s="60" t="s">
        <v>318</v>
      </c>
      <c r="C4" s="60" t="s">
        <v>277</v>
      </c>
    </row>
    <row r="5" spans="1:3">
      <c r="B5" s="60" t="s">
        <v>338</v>
      </c>
      <c r="C5" s="60" t="s">
        <v>409</v>
      </c>
    </row>
    <row r="6" spans="1:3">
      <c r="C6" s="60" t="s">
        <v>410</v>
      </c>
    </row>
    <row r="7" spans="1:3">
      <c r="C7" s="60" t="s">
        <v>501</v>
      </c>
    </row>
    <row r="10" spans="1:3" ht="13">
      <c r="C10" s="63" t="s">
        <v>386</v>
      </c>
    </row>
    <row r="50" spans="5:5" ht="15.5">
      <c r="E50" s="66" t="s">
        <v>372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796875" defaultRowHeight="12.5"/>
  <cols>
    <col min="1" max="1" width="5" style="60" bestFit="1" customWidth="1"/>
    <col min="2" max="2" width="12.269531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425</v>
      </c>
    </row>
    <row r="3" spans="1:3">
      <c r="B3" s="60" t="s">
        <v>1</v>
      </c>
      <c r="C3" s="60" t="s">
        <v>546</v>
      </c>
    </row>
    <row r="4" spans="1:3">
      <c r="B4" s="60" t="s">
        <v>323</v>
      </c>
      <c r="C4" s="60" t="s">
        <v>549</v>
      </c>
    </row>
    <row r="5" spans="1:3">
      <c r="B5" s="60" t="s">
        <v>157</v>
      </c>
    </row>
    <row r="6" spans="1:3" ht="13">
      <c r="C6" s="63" t="s">
        <v>438</v>
      </c>
    </row>
    <row r="7" spans="1:3">
      <c r="C7" s="60" t="s">
        <v>439</v>
      </c>
    </row>
    <row r="8" spans="1:3">
      <c r="C8" s="60" t="s">
        <v>440</v>
      </c>
    </row>
    <row r="11" spans="1:3" ht="13">
      <c r="C11" s="63" t="s">
        <v>545</v>
      </c>
    </row>
    <row r="12" spans="1:3">
      <c r="C12" s="60" t="s">
        <v>547</v>
      </c>
    </row>
    <row r="13" spans="1:3">
      <c r="C13" s="60" t="s">
        <v>548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53125" defaultRowHeight="12.5"/>
  <cols>
    <col min="1" max="1" width="4.81640625" bestFit="1" customWidth="1"/>
    <col min="2" max="2" width="13.453125" customWidth="1"/>
  </cols>
  <sheetData>
    <row r="1" spans="1:3">
      <c r="A1" s="59" t="s">
        <v>55</v>
      </c>
    </row>
    <row r="2" spans="1:3">
      <c r="B2" s="60" t="s">
        <v>216</v>
      </c>
      <c r="C2" s="60" t="s">
        <v>316</v>
      </c>
    </row>
    <row r="3" spans="1:3">
      <c r="B3" s="60" t="s">
        <v>217</v>
      </c>
      <c r="C3" s="60" t="s">
        <v>276</v>
      </c>
    </row>
    <row r="4" spans="1:3">
      <c r="B4" s="60" t="s">
        <v>219</v>
      </c>
      <c r="C4" s="60" t="s">
        <v>277</v>
      </c>
    </row>
    <row r="5" spans="1:3">
      <c r="B5" s="60" t="s">
        <v>223</v>
      </c>
      <c r="C5" s="60" t="s">
        <v>468</v>
      </c>
    </row>
    <row r="6" spans="1:3">
      <c r="B6" s="60" t="s">
        <v>318</v>
      </c>
      <c r="C6" s="60" t="s">
        <v>319</v>
      </c>
    </row>
    <row r="7" spans="1:3">
      <c r="B7" s="60" t="s">
        <v>338</v>
      </c>
      <c r="C7" s="60" t="s">
        <v>460</v>
      </c>
    </row>
    <row r="8" spans="1:3">
      <c r="B8" s="60"/>
      <c r="C8" s="60" t="s">
        <v>461</v>
      </c>
    </row>
    <row r="9" spans="1:3">
      <c r="B9" s="60" t="s">
        <v>323</v>
      </c>
      <c r="C9" s="60" t="s">
        <v>462</v>
      </c>
    </row>
    <row r="10" spans="1:3">
      <c r="B10" s="60"/>
      <c r="C10" s="60" t="s">
        <v>463</v>
      </c>
    </row>
    <row r="11" spans="1:3">
      <c r="B11" s="60"/>
      <c r="C11" s="60" t="s">
        <v>473</v>
      </c>
    </row>
    <row r="12" spans="1:3">
      <c r="B12" s="60"/>
      <c r="C12" s="60" t="s">
        <v>526</v>
      </c>
    </row>
    <row r="13" spans="1:3">
      <c r="B13" s="60" t="s">
        <v>157</v>
      </c>
    </row>
    <row r="14" spans="1:3" ht="13">
      <c r="C14" s="63" t="s">
        <v>278</v>
      </c>
    </row>
    <row r="15" spans="1:3">
      <c r="C15" s="60" t="s">
        <v>279</v>
      </c>
    </row>
    <row r="16" spans="1:3">
      <c r="C16" s="60" t="s">
        <v>428</v>
      </c>
    </row>
    <row r="17" spans="3:3">
      <c r="C17" s="60"/>
    </row>
    <row r="18" spans="3:3" ht="13">
      <c r="C18" s="63" t="s">
        <v>340</v>
      </c>
    </row>
    <row r="19" spans="3:3">
      <c r="C19" s="60" t="s">
        <v>428</v>
      </c>
    </row>
    <row r="21" spans="3:3" ht="13">
      <c r="C21" s="63" t="s">
        <v>374</v>
      </c>
    </row>
    <row r="22" spans="3:3">
      <c r="C22" s="60" t="s">
        <v>375</v>
      </c>
    </row>
    <row r="24" spans="3:3" ht="13">
      <c r="C24" s="63" t="s">
        <v>469</v>
      </c>
    </row>
    <row r="25" spans="3:3">
      <c r="C25" s="60" t="s">
        <v>470</v>
      </c>
    </row>
    <row r="26" spans="3:3">
      <c r="C26" s="60" t="s">
        <v>471</v>
      </c>
    </row>
    <row r="27" spans="3:3">
      <c r="C27" s="60" t="s">
        <v>472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1640625" defaultRowHeight="12.5"/>
  <cols>
    <col min="1" max="1" width="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449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450</v>
      </c>
    </row>
    <row r="6" spans="1:3">
      <c r="B6" s="60" t="s">
        <v>451</v>
      </c>
      <c r="C6" s="60" t="s">
        <v>453</v>
      </c>
    </row>
    <row r="7" spans="1:3">
      <c r="B7" s="60" t="s">
        <v>219</v>
      </c>
      <c r="C7" s="60" t="s">
        <v>452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1640625" defaultRowHeight="12.5"/>
  <cols>
    <col min="1" max="1" width="4.81640625" style="60" bestFit="1" customWidth="1"/>
    <col min="2" max="2" width="12.453125" style="60" bestFit="1" customWidth="1"/>
    <col min="3" max="16384" width="10.81640625" style="60"/>
  </cols>
  <sheetData>
    <row r="1" spans="1:3">
      <c r="A1" s="59" t="s">
        <v>55</v>
      </c>
    </row>
    <row r="2" spans="1:3">
      <c r="B2" s="60" t="s">
        <v>216</v>
      </c>
      <c r="C2" s="60" t="s">
        <v>581</v>
      </c>
    </row>
    <row r="3" spans="1:3">
      <c r="B3" s="60" t="s">
        <v>223</v>
      </c>
      <c r="C3" s="60" t="s">
        <v>272</v>
      </c>
    </row>
    <row r="4" spans="1:3">
      <c r="B4" s="60" t="s">
        <v>219</v>
      </c>
      <c r="C4" s="60" t="s">
        <v>273</v>
      </c>
    </row>
    <row r="5" spans="1:3">
      <c r="B5" s="60" t="s">
        <v>157</v>
      </c>
    </row>
    <row r="6" spans="1:3" ht="13">
      <c r="C6" s="63" t="s">
        <v>274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256</v>
      </c>
    </row>
    <row r="4" spans="1:3">
      <c r="B4" s="60" t="s">
        <v>1</v>
      </c>
      <c r="C4" s="60" t="s">
        <v>257</v>
      </c>
    </row>
    <row r="5" spans="1:3">
      <c r="B5" s="60" t="s">
        <v>219</v>
      </c>
      <c r="C5" s="60" t="s">
        <v>435</v>
      </c>
    </row>
    <row r="6" spans="1:3">
      <c r="B6" s="60" t="s">
        <v>157</v>
      </c>
    </row>
    <row r="7" spans="1:3" ht="13">
      <c r="C7" s="63" t="s">
        <v>295</v>
      </c>
    </row>
    <row r="8" spans="1:3">
      <c r="C8" s="60" t="s">
        <v>294</v>
      </c>
    </row>
    <row r="11" spans="1:3" ht="13">
      <c r="C11" s="63" t="s">
        <v>297</v>
      </c>
    </row>
    <row r="12" spans="1:3">
      <c r="C12" s="60" t="s">
        <v>296</v>
      </c>
    </row>
    <row r="15" spans="1:3" ht="13">
      <c r="C15" s="63" t="s">
        <v>411</v>
      </c>
    </row>
    <row r="16" spans="1:3">
      <c r="C16" s="60" t="s">
        <v>412</v>
      </c>
    </row>
    <row r="17" spans="3:3">
      <c r="C17" s="60" t="s">
        <v>413</v>
      </c>
    </row>
    <row r="20" spans="3:3" ht="13">
      <c r="C20" s="63" t="s">
        <v>436</v>
      </c>
    </row>
    <row r="21" spans="3:3">
      <c r="C21" s="60" t="s">
        <v>434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579</v>
      </c>
    </row>
    <row r="3" spans="1:3">
      <c r="B3" s="60" t="s">
        <v>217</v>
      </c>
      <c r="C3" s="60" t="s">
        <v>320</v>
      </c>
    </row>
    <row r="4" spans="1:3">
      <c r="B4" s="60" t="s">
        <v>1</v>
      </c>
      <c r="C4" s="60" t="s">
        <v>321</v>
      </c>
    </row>
    <row r="5" spans="1:3">
      <c r="B5" s="60" t="s">
        <v>223</v>
      </c>
      <c r="C5" s="60" t="s">
        <v>534</v>
      </c>
    </row>
    <row r="6" spans="1:3">
      <c r="B6" s="60" t="s">
        <v>219</v>
      </c>
      <c r="C6" s="60" t="s">
        <v>355</v>
      </c>
    </row>
    <row r="7" spans="1:3">
      <c r="B7" s="60" t="s">
        <v>157</v>
      </c>
    </row>
    <row r="8" spans="1:3" ht="13">
      <c r="C8" s="63" t="s">
        <v>351</v>
      </c>
    </row>
    <row r="9" spans="1:3">
      <c r="C9" s="60" t="s">
        <v>350</v>
      </c>
    </row>
    <row r="10" spans="1:3">
      <c r="C10" s="60" t="s">
        <v>352</v>
      </c>
    </row>
    <row r="12" spans="1:3" ht="13">
      <c r="C12" s="63" t="s">
        <v>353</v>
      </c>
    </row>
    <row r="13" spans="1:3">
      <c r="C13" s="60" t="s">
        <v>354</v>
      </c>
    </row>
    <row r="15" spans="1:3" ht="13">
      <c r="C15" s="63" t="s">
        <v>536</v>
      </c>
    </row>
    <row r="16" spans="1:3">
      <c r="C16" s="60" t="s">
        <v>535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3"/>
  <sheetViews>
    <sheetView zoomScale="115" zoomScaleNormal="115" workbookViewId="0"/>
  </sheetViews>
  <sheetFormatPr defaultColWidth="9.1796875" defaultRowHeight="12.5"/>
  <cols>
    <col min="1" max="1" width="3.26953125" style="24" customWidth="1"/>
    <col min="2" max="2" width="37.453125" style="24" customWidth="1"/>
    <col min="3" max="3" width="25.453125" style="26" customWidth="1"/>
    <col min="4" max="4" width="14.7265625" style="26" customWidth="1"/>
    <col min="5" max="5" width="11.1796875" style="24" customWidth="1"/>
    <col min="6" max="6" width="9.1796875" style="24"/>
    <col min="7" max="7" width="14.81640625" style="24" customWidth="1"/>
    <col min="8" max="8" width="7.26953125" style="24" customWidth="1"/>
    <col min="9" max="9" width="11.26953125" style="24" customWidth="1"/>
    <col min="10" max="10" width="10" style="24" customWidth="1"/>
    <col min="11" max="11" width="7.7265625" style="24" customWidth="1"/>
    <col min="12" max="16384" width="9.179687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317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4446</v>
      </c>
      <c r="K3" s="29" t="s">
        <v>420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1409382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47876</v>
      </c>
      <c r="K5" s="29" t="s">
        <v>420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335</v>
      </c>
      <c r="G6" s="27">
        <v>1</v>
      </c>
      <c r="I6" s="24" t="s">
        <v>19</v>
      </c>
      <c r="J6" s="28">
        <v>121115</v>
      </c>
      <c r="K6" s="29" t="s">
        <v>420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1482621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484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336</v>
      </c>
      <c r="G10" s="27">
        <v>1</v>
      </c>
      <c r="I10" s="24" t="s">
        <v>263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336</v>
      </c>
      <c r="G11" s="27">
        <v>1</v>
      </c>
      <c r="I11" s="24" t="s">
        <v>616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262</v>
      </c>
      <c r="J12" s="25"/>
    </row>
    <row r="13" spans="2:11">
      <c r="B13" s="3" t="s">
        <v>275</v>
      </c>
      <c r="C13" s="26" t="s">
        <v>8</v>
      </c>
      <c r="D13" s="26" t="s">
        <v>9</v>
      </c>
      <c r="E13" s="26" t="s">
        <v>426</v>
      </c>
      <c r="F13" s="26" t="s">
        <v>252</v>
      </c>
      <c r="G13" s="27">
        <v>1</v>
      </c>
      <c r="I13" s="24" t="s">
        <v>511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512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513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335</v>
      </c>
      <c r="G16" s="27">
        <v>1</v>
      </c>
      <c r="I16" s="24" t="s">
        <v>514</v>
      </c>
      <c r="J16" s="25"/>
    </row>
    <row r="17" spans="2:10">
      <c r="B17" s="19" t="s">
        <v>485</v>
      </c>
      <c r="C17" s="26" t="s">
        <v>8</v>
      </c>
      <c r="D17" s="26" t="s">
        <v>30</v>
      </c>
      <c r="E17" s="26" t="s">
        <v>31</v>
      </c>
      <c r="F17" s="26"/>
      <c r="G17" s="30"/>
      <c r="I17" s="88" t="s">
        <v>623</v>
      </c>
    </row>
    <row r="18" spans="2:10">
      <c r="B18" s="19" t="s">
        <v>245</v>
      </c>
      <c r="E18" s="26"/>
      <c r="F18" s="26"/>
      <c r="G18" s="30"/>
      <c r="I18" s="24" t="s">
        <v>621</v>
      </c>
    </row>
    <row r="19" spans="2:10">
      <c r="B19" s="19" t="s">
        <v>246</v>
      </c>
      <c r="E19" s="26"/>
      <c r="F19" s="26"/>
      <c r="G19" s="30"/>
      <c r="I19" s="24" t="s">
        <v>622</v>
      </c>
    </row>
    <row r="20" spans="2:10">
      <c r="B20" s="19" t="s">
        <v>247</v>
      </c>
      <c r="E20" s="26"/>
      <c r="F20" s="26"/>
      <c r="G20" s="30"/>
      <c r="I20" s="24" t="s">
        <v>624</v>
      </c>
    </row>
    <row r="21" spans="2:10">
      <c r="B21" s="3" t="s">
        <v>249</v>
      </c>
      <c r="C21" s="26" t="s">
        <v>179</v>
      </c>
      <c r="D21" s="26" t="s">
        <v>454</v>
      </c>
      <c r="E21" s="26">
        <v>2019</v>
      </c>
      <c r="F21" s="26" t="s">
        <v>452</v>
      </c>
      <c r="G21" s="30"/>
    </row>
    <row r="22" spans="2:10">
      <c r="B22" s="19" t="s">
        <v>358</v>
      </c>
      <c r="C22" s="26" t="s">
        <v>180</v>
      </c>
      <c r="E22" s="26"/>
      <c r="F22" s="26"/>
      <c r="G22" s="30"/>
      <c r="I22" s="24" t="s">
        <v>261</v>
      </c>
    </row>
    <row r="23" spans="2:10">
      <c r="B23" s="19" t="s">
        <v>253</v>
      </c>
      <c r="C23" s="26" t="s">
        <v>32</v>
      </c>
      <c r="D23" s="26" t="s">
        <v>33</v>
      </c>
      <c r="E23" s="26"/>
      <c r="F23" s="26"/>
      <c r="G23" s="30"/>
      <c r="I23" s="24" t="s">
        <v>337</v>
      </c>
    </row>
    <row r="24" spans="2:10">
      <c r="B24" s="19" t="s">
        <v>248</v>
      </c>
      <c r="E24" s="26"/>
      <c r="F24" s="26"/>
      <c r="G24" s="30"/>
    </row>
    <row r="25" spans="2:10">
      <c r="B25" s="3" t="s">
        <v>329</v>
      </c>
      <c r="C25" s="26" t="s">
        <v>24</v>
      </c>
      <c r="E25" s="26" t="s">
        <v>385</v>
      </c>
      <c r="F25" s="26"/>
      <c r="G25" s="30"/>
      <c r="I25" s="24" t="s">
        <v>477</v>
      </c>
    </row>
    <row r="26" spans="2:10">
      <c r="B26" s="19" t="s">
        <v>250</v>
      </c>
      <c r="E26" s="26"/>
      <c r="F26" s="26"/>
      <c r="G26" s="30"/>
      <c r="I26" s="24" t="s">
        <v>326</v>
      </c>
    </row>
    <row r="27" spans="2:10">
      <c r="B27" s="19" t="s">
        <v>251</v>
      </c>
      <c r="E27" s="26"/>
      <c r="F27" s="26"/>
      <c r="G27" s="30"/>
    </row>
    <row r="28" spans="2:10">
      <c r="B28" s="19" t="s">
        <v>397</v>
      </c>
      <c r="C28" s="26" t="s">
        <v>398</v>
      </c>
      <c r="E28" s="26" t="s">
        <v>465</v>
      </c>
      <c r="F28" s="26"/>
      <c r="G28" s="30" t="s">
        <v>464</v>
      </c>
      <c r="I28" s="24" t="s">
        <v>394</v>
      </c>
    </row>
    <row r="29" spans="2:10">
      <c r="B29" s="3" t="s">
        <v>503</v>
      </c>
      <c r="C29" s="26" t="s">
        <v>27</v>
      </c>
      <c r="E29" s="26" t="s">
        <v>429</v>
      </c>
      <c r="F29" s="26"/>
      <c r="G29" s="30"/>
      <c r="I29" s="24" t="s">
        <v>393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396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256</v>
      </c>
      <c r="C32" s="26" t="s">
        <v>431</v>
      </c>
      <c r="E32" s="26" t="s">
        <v>34</v>
      </c>
      <c r="F32" s="26"/>
      <c r="G32" s="27"/>
    </row>
    <row r="33" spans="2:7">
      <c r="B33" s="3" t="s">
        <v>524</v>
      </c>
      <c r="C33" s="26" t="s">
        <v>8</v>
      </c>
      <c r="E33" s="26" t="s">
        <v>525</v>
      </c>
      <c r="F33" s="26"/>
      <c r="G33" s="27"/>
    </row>
    <row r="34" spans="2:7">
      <c r="B34" s="3" t="s">
        <v>258</v>
      </c>
      <c r="C34" s="26" t="s">
        <v>259</v>
      </c>
      <c r="D34" s="26" t="s">
        <v>267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283</v>
      </c>
      <c r="C36" s="26" t="s">
        <v>8</v>
      </c>
      <c r="D36" s="26" t="s">
        <v>288</v>
      </c>
      <c r="E36" s="26" t="s">
        <v>34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417</v>
      </c>
      <c r="C39" s="26" t="s">
        <v>418</v>
      </c>
      <c r="E39" s="26" t="s">
        <v>41</v>
      </c>
      <c r="F39" s="26"/>
      <c r="G39" s="30" t="s">
        <v>523</v>
      </c>
    </row>
    <row r="40" spans="2:7">
      <c r="B40" s="3" t="s">
        <v>425</v>
      </c>
      <c r="E40" s="26"/>
      <c r="F40" s="26"/>
      <c r="G40" s="30"/>
    </row>
    <row r="41" spans="2:7">
      <c r="B41" s="19" t="s">
        <v>327</v>
      </c>
      <c r="D41" s="26" t="s">
        <v>356</v>
      </c>
      <c r="E41" s="26" t="s">
        <v>53</v>
      </c>
      <c r="F41" s="26"/>
      <c r="G41" s="30"/>
    </row>
    <row r="42" spans="2:7">
      <c r="B42" s="19" t="s">
        <v>388</v>
      </c>
      <c r="C42" s="26" t="s">
        <v>259</v>
      </c>
      <c r="D42" s="26" t="s">
        <v>334</v>
      </c>
      <c r="E42" s="26" t="s">
        <v>53</v>
      </c>
      <c r="F42" s="26"/>
      <c r="G42" s="30" t="s">
        <v>389</v>
      </c>
    </row>
    <row r="43" spans="2:7">
      <c r="B43" s="19" t="s">
        <v>515</v>
      </c>
      <c r="C43" s="26" t="s">
        <v>259</v>
      </c>
      <c r="D43" s="26" t="s">
        <v>515</v>
      </c>
      <c r="E43" s="26" t="s">
        <v>53</v>
      </c>
      <c r="F43" s="26"/>
      <c r="G43" s="30"/>
    </row>
    <row r="44" spans="2:7">
      <c r="B44" s="19" t="s">
        <v>518</v>
      </c>
      <c r="C44" s="26" t="s">
        <v>179</v>
      </c>
      <c r="D44" s="26" t="s">
        <v>519</v>
      </c>
      <c r="E44" s="26" t="s">
        <v>53</v>
      </c>
      <c r="F44" s="26"/>
      <c r="G44" s="30"/>
    </row>
    <row r="45" spans="2:7">
      <c r="B45" s="19"/>
      <c r="C45" s="26" t="s">
        <v>390</v>
      </c>
      <c r="D45" s="26" t="s">
        <v>334</v>
      </c>
      <c r="E45" s="26" t="s">
        <v>53</v>
      </c>
      <c r="F45" s="26"/>
      <c r="G45" s="30" t="s">
        <v>391</v>
      </c>
    </row>
    <row r="46" spans="2:7">
      <c r="B46" s="19" t="s">
        <v>520</v>
      </c>
      <c r="C46" s="26" t="s">
        <v>521</v>
      </c>
      <c r="D46" s="26" t="s">
        <v>522</v>
      </c>
      <c r="E46" s="26" t="s">
        <v>53</v>
      </c>
      <c r="F46" s="26"/>
      <c r="G46" s="30"/>
    </row>
    <row r="47" spans="2:7">
      <c r="B47" s="19" t="s">
        <v>392</v>
      </c>
      <c r="E47" s="26" t="s">
        <v>53</v>
      </c>
      <c r="F47" s="26"/>
      <c r="G47" s="30"/>
    </row>
    <row r="48" spans="2:7">
      <c r="B48" s="3" t="s">
        <v>504</v>
      </c>
      <c r="C48" s="26" t="s">
        <v>357</v>
      </c>
      <c r="D48" s="26" t="s">
        <v>415</v>
      </c>
      <c r="E48" s="26" t="s">
        <v>41</v>
      </c>
      <c r="F48" s="26"/>
      <c r="G48" s="30"/>
    </row>
    <row r="49" spans="2:7">
      <c r="B49" s="19"/>
      <c r="C49" s="26" t="s">
        <v>441</v>
      </c>
      <c r="D49" s="26" t="s">
        <v>442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 ht="13">
      <c r="B51" s="83" t="s">
        <v>573</v>
      </c>
      <c r="C51" s="84" t="s">
        <v>574</v>
      </c>
      <c r="D51" s="84" t="s">
        <v>289</v>
      </c>
      <c r="E51" s="84" t="s">
        <v>41</v>
      </c>
      <c r="F51" s="85"/>
      <c r="G51" s="86" t="s">
        <v>582</v>
      </c>
    </row>
    <row r="52" spans="2:7">
      <c r="B52" s="3" t="s">
        <v>320</v>
      </c>
      <c r="C52" s="26" t="s">
        <v>8</v>
      </c>
      <c r="D52" s="26" t="s">
        <v>533</v>
      </c>
      <c r="E52" s="26" t="s">
        <v>41</v>
      </c>
      <c r="F52" s="26"/>
      <c r="G52" s="30"/>
    </row>
    <row r="53" spans="2:7">
      <c r="B53" s="19" t="s">
        <v>583</v>
      </c>
      <c r="C53" s="26" t="s">
        <v>8</v>
      </c>
      <c r="D53" s="82" t="s">
        <v>572</v>
      </c>
      <c r="E53" s="26" t="s">
        <v>53</v>
      </c>
      <c r="F53" s="26" t="s">
        <v>594</v>
      </c>
      <c r="G53" s="30"/>
    </row>
    <row r="54" spans="2:7">
      <c r="B54" s="19" t="s">
        <v>576</v>
      </c>
      <c r="C54" s="26" t="s">
        <v>222</v>
      </c>
      <c r="D54" s="82" t="s">
        <v>601</v>
      </c>
      <c r="E54" s="26" t="s">
        <v>53</v>
      </c>
      <c r="F54" s="26"/>
      <c r="G54" s="30"/>
    </row>
    <row r="55" spans="2:7">
      <c r="B55" s="19" t="s">
        <v>571</v>
      </c>
      <c r="C55" s="26" t="s">
        <v>222</v>
      </c>
      <c r="D55" s="82" t="s">
        <v>572</v>
      </c>
      <c r="E55" s="26" t="s">
        <v>53</v>
      </c>
      <c r="F55" s="26" t="s">
        <v>541</v>
      </c>
      <c r="G55" s="30"/>
    </row>
    <row r="56" spans="2:7">
      <c r="B56" s="19"/>
      <c r="C56" s="26" t="s">
        <v>537</v>
      </c>
      <c r="D56" s="26" t="s">
        <v>538</v>
      </c>
      <c r="E56" s="26" t="s">
        <v>53</v>
      </c>
      <c r="F56" s="26" t="s">
        <v>541</v>
      </c>
      <c r="G56" s="30" t="s">
        <v>542</v>
      </c>
    </row>
    <row r="57" spans="2:7">
      <c r="B57" s="3" t="s">
        <v>317</v>
      </c>
      <c r="C57" s="26" t="s">
        <v>8</v>
      </c>
      <c r="D57" s="26" t="s">
        <v>289</v>
      </c>
      <c r="E57" s="26" t="s">
        <v>41</v>
      </c>
      <c r="F57" s="26" t="s">
        <v>252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584</v>
      </c>
      <c r="C59" s="26" t="s">
        <v>585</v>
      </c>
      <c r="E59" s="26" t="s">
        <v>53</v>
      </c>
      <c r="F59" s="26"/>
      <c r="G59" s="30"/>
    </row>
    <row r="60" spans="2:7">
      <c r="B60" s="19" t="s">
        <v>578</v>
      </c>
      <c r="C60" s="26" t="s">
        <v>577</v>
      </c>
      <c r="D60" s="82" t="s">
        <v>572</v>
      </c>
      <c r="E60" s="26" t="s">
        <v>53</v>
      </c>
      <c r="F60" s="26" t="s">
        <v>594</v>
      </c>
      <c r="G60" s="30"/>
    </row>
    <row r="61" spans="2:7">
      <c r="B61" s="19" t="s">
        <v>590</v>
      </c>
      <c r="E61" s="26" t="s">
        <v>53</v>
      </c>
      <c r="F61" s="26"/>
      <c r="G61" s="30"/>
    </row>
    <row r="62" spans="2:7">
      <c r="B62" s="19" t="s">
        <v>587</v>
      </c>
      <c r="E62" s="26" t="s">
        <v>53</v>
      </c>
      <c r="F62" s="26"/>
      <c r="G62" s="30"/>
    </row>
    <row r="63" spans="2:7">
      <c r="B63" s="19" t="s">
        <v>540</v>
      </c>
      <c r="C63" s="26" t="s">
        <v>222</v>
      </c>
      <c r="D63" s="26" t="s">
        <v>540</v>
      </c>
      <c r="E63" s="26" t="s">
        <v>53</v>
      </c>
      <c r="F63" s="26" t="s">
        <v>541</v>
      </c>
      <c r="G63" s="30"/>
    </row>
    <row r="64" spans="2:7">
      <c r="B64" s="19" t="s">
        <v>580</v>
      </c>
      <c r="C64" s="26" t="s">
        <v>600</v>
      </c>
      <c r="D64" s="26" t="s">
        <v>599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588</v>
      </c>
      <c r="C66" s="26" t="s">
        <v>603</v>
      </c>
      <c r="D66" s="26" t="s">
        <v>332</v>
      </c>
      <c r="E66" s="26" t="s">
        <v>53</v>
      </c>
      <c r="F66" s="26"/>
      <c r="G66" s="30"/>
    </row>
    <row r="67" spans="2:10">
      <c r="B67" s="19" t="s">
        <v>589</v>
      </c>
      <c r="C67" s="26" t="s">
        <v>603</v>
      </c>
      <c r="D67" s="26" t="s">
        <v>602</v>
      </c>
      <c r="E67" s="26" t="s">
        <v>53</v>
      </c>
      <c r="F67" s="26"/>
      <c r="G67" s="30"/>
    </row>
    <row r="68" spans="2:10">
      <c r="B68" s="19" t="s">
        <v>598</v>
      </c>
      <c r="C68" s="26" t="s">
        <v>537</v>
      </c>
      <c r="D68" s="26" t="s">
        <v>597</v>
      </c>
      <c r="E68" s="26" t="s">
        <v>53</v>
      </c>
      <c r="F68" s="26"/>
      <c r="G68" s="30"/>
    </row>
    <row r="69" spans="2:10">
      <c r="B69" s="19" t="s">
        <v>586</v>
      </c>
      <c r="C69" s="26" t="s">
        <v>260</v>
      </c>
      <c r="D69" s="26" t="s">
        <v>595</v>
      </c>
      <c r="E69" s="26" t="s">
        <v>53</v>
      </c>
      <c r="F69" s="26" t="s">
        <v>596</v>
      </c>
      <c r="G69" s="30"/>
    </row>
    <row r="70" spans="2:10">
      <c r="B70" s="3" t="s">
        <v>581</v>
      </c>
      <c r="C70" s="26" t="s">
        <v>592</v>
      </c>
      <c r="D70" s="26" t="s">
        <v>591</v>
      </c>
      <c r="E70" s="26" t="s">
        <v>53</v>
      </c>
      <c r="F70" s="26" t="s">
        <v>593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 ht="13">
      <c r="E74" s="24" t="s">
        <v>475</v>
      </c>
      <c r="F74" s="14"/>
    </row>
    <row r="75" spans="2:10">
      <c r="E75" s="24" t="s">
        <v>419</v>
      </c>
    </row>
    <row r="76" spans="2:10">
      <c r="E76" s="24" t="s">
        <v>414</v>
      </c>
    </row>
    <row r="77" spans="2:10">
      <c r="E77" s="24" t="s">
        <v>214</v>
      </c>
    </row>
    <row r="78" spans="2:10">
      <c r="E78" s="24" t="s">
        <v>416</v>
      </c>
      <c r="J78" s="24" t="s">
        <v>430</v>
      </c>
    </row>
    <row r="79" spans="2:10">
      <c r="E79" s="24" t="s">
        <v>395</v>
      </c>
      <c r="J79" s="24" t="s">
        <v>474</v>
      </c>
    </row>
    <row r="80" spans="2:10" ht="13">
      <c r="E80" s="14" t="s">
        <v>609</v>
      </c>
    </row>
    <row r="81" spans="5:5" ht="13">
      <c r="E81" s="14" t="s">
        <v>608</v>
      </c>
    </row>
    <row r="83" spans="5:5">
      <c r="E83" s="24" t="s">
        <v>617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53125" defaultRowHeight="12.5"/>
  <cols>
    <col min="1" max="1" width="4.8164062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289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342</v>
      </c>
    </row>
    <row r="7" spans="1:3">
      <c r="B7" s="60" t="s">
        <v>157</v>
      </c>
    </row>
    <row r="8" spans="1:3" ht="13">
      <c r="C8" s="63" t="s">
        <v>290</v>
      </c>
    </row>
    <row r="12" spans="1:3" ht="13">
      <c r="C12" s="63" t="s">
        <v>343</v>
      </c>
    </row>
    <row r="13" spans="1:3">
      <c r="C13" s="60" t="s">
        <v>443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5"/>
  <sheetViews>
    <sheetView topLeftCell="A42" zoomScale="150" zoomScaleNormal="150" workbookViewId="0">
      <selection activeCell="C51" sqref="C51"/>
    </sheetView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575</v>
      </c>
    </row>
    <row r="3" spans="1:3">
      <c r="B3" s="60" t="s">
        <v>217</v>
      </c>
      <c r="C3" s="60" t="s">
        <v>283</v>
      </c>
    </row>
    <row r="4" spans="1:3">
      <c r="B4" s="60" t="s">
        <v>223</v>
      </c>
      <c r="C4" s="60" t="s">
        <v>284</v>
      </c>
    </row>
    <row r="5" spans="1:3">
      <c r="B5" s="60" t="s">
        <v>1</v>
      </c>
      <c r="C5" s="60" t="s">
        <v>285</v>
      </c>
    </row>
    <row r="6" spans="1:3">
      <c r="B6" s="60" t="s">
        <v>323</v>
      </c>
      <c r="C6" s="60" t="s">
        <v>618</v>
      </c>
    </row>
    <row r="7" spans="1:3">
      <c r="B7" s="60" t="s">
        <v>157</v>
      </c>
    </row>
    <row r="8" spans="1:3" ht="13">
      <c r="C8" s="63" t="s">
        <v>286</v>
      </c>
    </row>
    <row r="9" spans="1:3">
      <c r="C9" s="60" t="s">
        <v>287</v>
      </c>
    </row>
    <row r="11" spans="1:3" ht="13">
      <c r="C11" s="63" t="s">
        <v>324</v>
      </c>
    </row>
    <row r="12" spans="1:3" ht="13">
      <c r="C12" s="63"/>
    </row>
    <row r="13" spans="1:3" ht="13">
      <c r="C13" s="63" t="s">
        <v>369</v>
      </c>
    </row>
    <row r="14" spans="1:3">
      <c r="C14" s="60" t="s">
        <v>368</v>
      </c>
    </row>
    <row r="15" spans="1:3" ht="13">
      <c r="C15" s="63"/>
    </row>
    <row r="16" spans="1:3" ht="13">
      <c r="C16" s="63" t="s">
        <v>370</v>
      </c>
    </row>
    <row r="17" spans="3:3">
      <c r="C17" s="60" t="s">
        <v>368</v>
      </c>
    </row>
    <row r="19" spans="3:3" ht="13">
      <c r="C19" s="63" t="s">
        <v>341</v>
      </c>
    </row>
    <row r="20" spans="3:3" ht="13">
      <c r="C20" s="63"/>
    </row>
    <row r="21" spans="3:3" ht="13">
      <c r="C21" s="63" t="s">
        <v>348</v>
      </c>
    </row>
    <row r="22" spans="3:3">
      <c r="C22" s="60" t="s">
        <v>349</v>
      </c>
    </row>
    <row r="50" spans="3:3" ht="13">
      <c r="C50" s="63" t="s">
        <v>620</v>
      </c>
    </row>
    <row r="51" spans="3:3">
      <c r="C51" s="60" t="s">
        <v>381</v>
      </c>
    </row>
    <row r="52" spans="3:3">
      <c r="C52" s="60" t="s">
        <v>383</v>
      </c>
    </row>
    <row r="53" spans="3:3">
      <c r="C53" s="60" t="s">
        <v>619</v>
      </c>
    </row>
    <row r="55" spans="3:3" ht="13">
      <c r="C55" s="63" t="s">
        <v>382</v>
      </c>
    </row>
    <row r="56" spans="3:3">
      <c r="C56" s="60" t="s">
        <v>384</v>
      </c>
    </row>
    <row r="59" spans="3:3" ht="13">
      <c r="C59" s="63" t="s">
        <v>610</v>
      </c>
    </row>
    <row r="60" spans="3:3">
      <c r="C60" s="60" t="s">
        <v>611</v>
      </c>
    </row>
    <row r="61" spans="3:3">
      <c r="C61" s="60" t="s">
        <v>612</v>
      </c>
    </row>
    <row r="62" spans="3:3">
      <c r="C62" s="60" t="s">
        <v>613</v>
      </c>
    </row>
    <row r="63" spans="3:3">
      <c r="C63" s="60" t="s">
        <v>614</v>
      </c>
    </row>
    <row r="65" spans="3:3" ht="13">
      <c r="C65" s="63" t="s">
        <v>615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1640625" defaultRowHeight="12.5"/>
  <cols>
    <col min="1" max="1" width="5" bestFit="1" customWidth="1"/>
    <col min="2" max="2" width="11.269531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455</v>
      </c>
    </row>
    <row r="3" spans="1:3">
      <c r="B3" s="60" t="s">
        <v>1</v>
      </c>
      <c r="C3" s="60" t="s">
        <v>456</v>
      </c>
    </row>
    <row r="4" spans="1:3">
      <c r="B4" s="60" t="s">
        <v>338</v>
      </c>
      <c r="C4" s="60" t="s">
        <v>457</v>
      </c>
    </row>
    <row r="5" spans="1:3">
      <c r="B5" s="60" t="s">
        <v>323</v>
      </c>
      <c r="C5" s="60" t="s">
        <v>458</v>
      </c>
    </row>
    <row r="6" spans="1:3">
      <c r="B6" s="60"/>
      <c r="C6" s="60" t="s">
        <v>543</v>
      </c>
    </row>
    <row r="7" spans="1:3">
      <c r="B7" s="60" t="s">
        <v>157</v>
      </c>
    </row>
    <row r="8" spans="1:3" ht="13">
      <c r="B8" s="60"/>
      <c r="C8" s="63" t="s">
        <v>459</v>
      </c>
    </row>
    <row r="11" spans="1:3" ht="13">
      <c r="C11" s="63" t="s">
        <v>544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258</v>
      </c>
    </row>
    <row r="3" spans="1:3">
      <c r="B3" s="60" t="s">
        <v>223</v>
      </c>
      <c r="C3" s="60" t="s">
        <v>268</v>
      </c>
    </row>
    <row r="4" spans="1:3">
      <c r="B4" s="60" t="s">
        <v>270</v>
      </c>
      <c r="C4" s="60" t="s">
        <v>271</v>
      </c>
    </row>
    <row r="5" spans="1:3">
      <c r="B5" s="60" t="s">
        <v>157</v>
      </c>
    </row>
    <row r="6" spans="1:3" ht="13">
      <c r="C6" s="63" t="s">
        <v>269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S122"/>
  <sheetViews>
    <sheetView tabSelected="1" zoomScale="175" zoomScaleNormal="175" workbookViewId="0">
      <pane xSplit="2" ySplit="2" topLeftCell="DF47" activePane="bottomRight" state="frozen"/>
      <selection pane="topRight" activeCell="C1" sqref="C1"/>
      <selection pane="bottomLeft" activeCell="A3" sqref="A3"/>
      <selection pane="bottomRight" activeCell="DK57" sqref="DK57"/>
    </sheetView>
  </sheetViews>
  <sheetFormatPr defaultColWidth="9.1796875" defaultRowHeight="13" customHeight="1"/>
  <cols>
    <col min="1" max="1" width="5" style="5" bestFit="1" customWidth="1"/>
    <col min="2" max="2" width="19.1796875" style="18" customWidth="1"/>
    <col min="3" max="42" width="6.81640625" style="6" customWidth="1"/>
    <col min="43" max="46" width="8" style="6" customWidth="1"/>
    <col min="47" max="50" width="8.26953125" style="6" customWidth="1"/>
    <col min="51" max="66" width="7.81640625" style="6" customWidth="1"/>
    <col min="67" max="78" width="8.1796875" style="6" customWidth="1"/>
    <col min="79" max="86" width="7.1796875" style="6" bestFit="1" customWidth="1"/>
    <col min="87" max="87" width="7.7265625" style="6" customWidth="1"/>
    <col min="88" max="89" width="7.453125" style="6" bestFit="1" customWidth="1"/>
    <col min="90" max="97" width="7.7265625" style="6" customWidth="1"/>
    <col min="98" max="110" width="7.7265625" style="7" customWidth="1"/>
    <col min="111" max="117" width="8.54296875" style="7" customWidth="1"/>
    <col min="118" max="16384" width="9.1796875" style="7"/>
  </cols>
  <sheetData>
    <row r="1" spans="1:149" ht="13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7"/>
      <c r="BZ1" s="37"/>
      <c r="CA1" s="37"/>
      <c r="CB1" s="37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8"/>
      <c r="CQ1" s="38"/>
      <c r="CR1" s="38"/>
      <c r="CS1" s="38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  <c r="EP1" s="39"/>
      <c r="EQ1" s="39"/>
      <c r="ER1" s="39"/>
      <c r="ES1" s="39"/>
    </row>
    <row r="2" spans="1:149" ht="13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420</v>
      </c>
      <c r="BT2" s="41" t="s">
        <v>421</v>
      </c>
      <c r="BU2" s="41" t="s">
        <v>422</v>
      </c>
      <c r="BV2" s="41" t="s">
        <v>423</v>
      </c>
      <c r="BW2" s="41" t="s">
        <v>625</v>
      </c>
      <c r="BX2" s="41" t="s">
        <v>626</v>
      </c>
      <c r="BY2" s="41" t="s">
        <v>627</v>
      </c>
      <c r="BZ2" s="41" t="s">
        <v>628</v>
      </c>
      <c r="CA2" s="42"/>
      <c r="CB2" s="41" t="s">
        <v>115</v>
      </c>
      <c r="CC2" s="41" t="s">
        <v>116</v>
      </c>
      <c r="CD2" s="41" t="s">
        <v>117</v>
      </c>
      <c r="CE2" s="41" t="s">
        <v>118</v>
      </c>
      <c r="CF2" s="41" t="s">
        <v>119</v>
      </c>
      <c r="CG2" s="41" t="s">
        <v>120</v>
      </c>
      <c r="CH2" s="41" t="s">
        <v>121</v>
      </c>
      <c r="CI2" s="41">
        <v>2005</v>
      </c>
      <c r="CJ2" s="41">
        <v>2006</v>
      </c>
      <c r="CK2" s="41">
        <v>2007</v>
      </c>
      <c r="CL2" s="41">
        <v>2008</v>
      </c>
      <c r="CM2" s="41">
        <v>2009</v>
      </c>
      <c r="CN2" s="41">
        <v>2010</v>
      </c>
      <c r="CO2" s="41">
        <v>2011</v>
      </c>
      <c r="CP2" s="41">
        <v>2012</v>
      </c>
      <c r="CQ2" s="41">
        <v>2013</v>
      </c>
      <c r="CR2" s="41">
        <v>2014</v>
      </c>
      <c r="CS2" s="41">
        <v>2015</v>
      </c>
      <c r="CT2" s="58">
        <f>+CS2+1</f>
        <v>2016</v>
      </c>
      <c r="CU2" s="58">
        <f t="shared" ref="CU2:DM2" si="0">+CT2+1</f>
        <v>2017</v>
      </c>
      <c r="CV2" s="58">
        <f t="shared" si="0"/>
        <v>2018</v>
      </c>
      <c r="CW2" s="58">
        <f t="shared" si="0"/>
        <v>2019</v>
      </c>
      <c r="CX2" s="58">
        <f t="shared" si="0"/>
        <v>2020</v>
      </c>
      <c r="CY2" s="58">
        <f t="shared" si="0"/>
        <v>2021</v>
      </c>
      <c r="CZ2" s="58">
        <f t="shared" si="0"/>
        <v>2022</v>
      </c>
      <c r="DA2" s="58">
        <f t="shared" si="0"/>
        <v>2023</v>
      </c>
      <c r="DB2" s="58">
        <f t="shared" si="0"/>
        <v>2024</v>
      </c>
      <c r="DC2" s="58">
        <f t="shared" si="0"/>
        <v>2025</v>
      </c>
      <c r="DD2" s="58">
        <f t="shared" si="0"/>
        <v>2026</v>
      </c>
      <c r="DE2" s="58">
        <f t="shared" si="0"/>
        <v>2027</v>
      </c>
      <c r="DF2" s="58">
        <f t="shared" si="0"/>
        <v>2028</v>
      </c>
      <c r="DG2" s="58">
        <f t="shared" si="0"/>
        <v>2029</v>
      </c>
      <c r="DH2" s="58">
        <f t="shared" si="0"/>
        <v>2030</v>
      </c>
      <c r="DI2" s="58">
        <f t="shared" si="0"/>
        <v>2031</v>
      </c>
      <c r="DJ2" s="58">
        <f t="shared" si="0"/>
        <v>2032</v>
      </c>
      <c r="DK2" s="58">
        <f t="shared" si="0"/>
        <v>2033</v>
      </c>
      <c r="DL2" s="58">
        <f t="shared" si="0"/>
        <v>2034</v>
      </c>
      <c r="DM2" s="58">
        <f t="shared" si="0"/>
        <v>2035</v>
      </c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  <c r="EP2" s="39"/>
      <c r="EQ2" s="39"/>
      <c r="ER2" s="39"/>
      <c r="ES2" s="39"/>
    </row>
    <row r="3" spans="1:149" s="12" customFormat="1" ht="13" customHeight="1">
      <c r="A3" s="8"/>
      <c r="B3" s="96" t="s">
        <v>632</v>
      </c>
      <c r="C3" s="97"/>
      <c r="D3" s="97"/>
      <c r="E3" s="97"/>
      <c r="F3" s="97"/>
      <c r="G3" s="97"/>
      <c r="H3" s="97"/>
      <c r="I3" s="97"/>
      <c r="J3" s="97"/>
      <c r="K3" s="97"/>
      <c r="L3" s="97"/>
      <c r="M3" s="97"/>
      <c r="N3" s="97"/>
      <c r="O3" s="97"/>
      <c r="P3" s="97"/>
      <c r="Q3" s="97"/>
      <c r="R3" s="97"/>
      <c r="S3" s="97"/>
      <c r="T3" s="97"/>
      <c r="U3" s="97"/>
      <c r="V3" s="97"/>
      <c r="W3" s="97"/>
      <c r="X3" s="97"/>
      <c r="Y3" s="97"/>
      <c r="Z3" s="97"/>
      <c r="AA3" s="97"/>
      <c r="AB3" s="97"/>
      <c r="AC3" s="97"/>
      <c r="AD3" s="97"/>
      <c r="AE3" s="97"/>
      <c r="AF3" s="97"/>
      <c r="AG3" s="97"/>
      <c r="AH3" s="97"/>
      <c r="AI3" s="97"/>
      <c r="AJ3" s="97"/>
      <c r="AK3" s="97"/>
      <c r="AL3" s="97"/>
      <c r="AM3" s="97"/>
      <c r="AN3" s="97"/>
      <c r="AO3" s="97"/>
      <c r="AP3" s="97"/>
      <c r="AQ3" s="97"/>
      <c r="AR3" s="97"/>
      <c r="AS3" s="97"/>
      <c r="AT3" s="97"/>
      <c r="AU3" s="97"/>
      <c r="AV3" s="97"/>
      <c r="AW3" s="97"/>
      <c r="AX3" s="97"/>
      <c r="AY3" s="97"/>
      <c r="AZ3" s="97"/>
      <c r="BA3" s="97"/>
      <c r="BB3" s="97"/>
      <c r="BC3" s="97"/>
      <c r="BD3" s="97"/>
      <c r="BE3" s="97"/>
      <c r="BF3" s="97"/>
      <c r="BG3" s="97"/>
      <c r="BH3" s="97"/>
      <c r="BI3" s="97"/>
      <c r="BJ3" s="97"/>
      <c r="BK3" s="13">
        <f t="shared" ref="BK3:BT3" si="1">SUM(BK4:BK9)</f>
        <v>44917.05</v>
      </c>
      <c r="BL3" s="13">
        <f t="shared" si="1"/>
        <v>51552.025000000001</v>
      </c>
      <c r="BM3" s="13">
        <f t="shared" si="1"/>
        <v>57864.274999999994</v>
      </c>
      <c r="BN3" s="13">
        <f t="shared" si="1"/>
        <v>71616.674999999988</v>
      </c>
      <c r="BO3" s="13">
        <f t="shared" si="1"/>
        <v>66486.5</v>
      </c>
      <c r="BP3" s="13">
        <f t="shared" si="1"/>
        <v>82303.5</v>
      </c>
      <c r="BQ3" s="13">
        <f t="shared" si="1"/>
        <v>89003.599999999991</v>
      </c>
      <c r="BR3" s="13">
        <f t="shared" si="1"/>
        <v>103599.97500000001</v>
      </c>
      <c r="BS3" s="13">
        <f t="shared" si="1"/>
        <v>102350.825</v>
      </c>
      <c r="BT3" s="13">
        <f t="shared" si="1"/>
        <v>119122.6</v>
      </c>
      <c r="BU3" s="13">
        <f>SUM(BU4:BU9)</f>
        <v>128213.94499999999</v>
      </c>
      <c r="BV3" s="13">
        <f>SUM(BV4:BV9)</f>
        <v>138274.495</v>
      </c>
      <c r="BW3" s="97"/>
      <c r="BX3" s="97"/>
      <c r="BY3" s="97"/>
      <c r="BZ3" s="97"/>
      <c r="CA3" s="98"/>
      <c r="CB3" s="97"/>
      <c r="CC3" s="97"/>
      <c r="CD3" s="97"/>
      <c r="CE3" s="97"/>
      <c r="CF3" s="97"/>
      <c r="CG3" s="97"/>
      <c r="CH3" s="97"/>
      <c r="CI3" s="97"/>
      <c r="CJ3" s="97"/>
      <c r="CK3" s="97"/>
      <c r="CL3" s="97"/>
      <c r="CM3" s="97"/>
      <c r="CN3" s="97"/>
      <c r="CO3" s="97"/>
      <c r="CP3" s="97"/>
      <c r="CQ3" s="97"/>
      <c r="CR3" s="97"/>
      <c r="CS3" s="97"/>
      <c r="CT3" s="99"/>
      <c r="CU3" s="99"/>
      <c r="CV3" s="99"/>
      <c r="CW3" s="99"/>
      <c r="CX3" s="99"/>
      <c r="CY3" s="99"/>
      <c r="CZ3" s="99"/>
      <c r="DA3" s="99"/>
      <c r="DB3" s="101">
        <f>SUM(BO3:BR3)</f>
        <v>341393.57499999995</v>
      </c>
      <c r="DC3" s="101">
        <f>SUM(BS3:BV3)</f>
        <v>487961.86499999999</v>
      </c>
      <c r="DD3" s="99"/>
      <c r="DE3" s="99"/>
      <c r="DF3" s="99"/>
      <c r="DG3" s="99"/>
      <c r="DH3" s="99"/>
      <c r="DI3" s="99"/>
      <c r="DJ3" s="99"/>
      <c r="DK3" s="99"/>
      <c r="DL3" s="99"/>
      <c r="DM3" s="99"/>
    </row>
    <row r="4" spans="1:149" s="94" customFormat="1" ht="13" customHeight="1">
      <c r="A4" s="89"/>
      <c r="B4" s="90" t="s">
        <v>629</v>
      </c>
      <c r="C4" s="91"/>
      <c r="D4" s="91"/>
      <c r="E4" s="91"/>
      <c r="F4" s="91"/>
      <c r="G4" s="91"/>
      <c r="H4" s="91"/>
      <c r="I4" s="91"/>
      <c r="J4" s="91"/>
      <c r="K4" s="91"/>
      <c r="L4" s="91"/>
      <c r="M4" s="91"/>
      <c r="N4" s="91"/>
      <c r="O4" s="91"/>
      <c r="P4" s="91"/>
      <c r="Q4" s="91"/>
      <c r="R4" s="91"/>
      <c r="S4" s="91"/>
      <c r="T4" s="91"/>
      <c r="U4" s="91"/>
      <c r="V4" s="91"/>
      <c r="W4" s="91"/>
      <c r="X4" s="91"/>
      <c r="Y4" s="91"/>
      <c r="Z4" s="91"/>
      <c r="AA4" s="91"/>
      <c r="AB4" s="91"/>
      <c r="AC4" s="91"/>
      <c r="AD4" s="91"/>
      <c r="AE4" s="91"/>
      <c r="AF4" s="91"/>
      <c r="AG4" s="91"/>
      <c r="AH4" s="91"/>
      <c r="AI4" s="91"/>
      <c r="AJ4" s="91"/>
      <c r="AK4" s="91"/>
      <c r="AL4" s="91"/>
      <c r="AM4" s="91"/>
      <c r="AN4" s="91"/>
      <c r="AO4" s="91"/>
      <c r="AP4" s="91"/>
      <c r="AQ4" s="91"/>
      <c r="AR4" s="91"/>
      <c r="AS4" s="91"/>
      <c r="AT4" s="91"/>
      <c r="AU4" s="91"/>
      <c r="AV4" s="91"/>
      <c r="AW4" s="91"/>
      <c r="AX4" s="91"/>
      <c r="AY4" s="91"/>
      <c r="AZ4" s="91"/>
      <c r="BA4" s="91"/>
      <c r="BB4" s="91"/>
      <c r="BC4" s="91"/>
      <c r="BD4" s="91"/>
      <c r="BE4" s="91"/>
      <c r="BF4" s="91"/>
      <c r="BG4" s="91"/>
      <c r="BH4" s="91"/>
      <c r="BI4" s="91"/>
      <c r="BJ4" s="91"/>
      <c r="BK4" s="95">
        <f>569*6.425</f>
        <v>3655.8249999999998</v>
      </c>
      <c r="BL4" s="95">
        <f>980*6.425</f>
        <v>6296.5</v>
      </c>
      <c r="BM4" s="95">
        <f>1409*6.425</f>
        <v>9052.8249999999989</v>
      </c>
      <c r="BN4" s="95">
        <f>2206*6.425</f>
        <v>14173.55</v>
      </c>
      <c r="BO4" s="95">
        <f>1807*6.425</f>
        <v>11609.975</v>
      </c>
      <c r="BP4" s="95">
        <f>3091*6.425</f>
        <v>19859.674999999999</v>
      </c>
      <c r="BQ4" s="95">
        <f>3113*6.425</f>
        <v>20001.024999999998</v>
      </c>
      <c r="BR4" s="95">
        <f>3530*6.425</f>
        <v>22680.25</v>
      </c>
      <c r="BS4" s="95">
        <f>3842*6.425</f>
        <v>24684.85</v>
      </c>
      <c r="BT4" s="95">
        <f>5199*6.425</f>
        <v>33403.574999999997</v>
      </c>
      <c r="BU4" s="95">
        <f>6515*6.4254</f>
        <v>41861.481</v>
      </c>
      <c r="BV4" s="95">
        <f>7015*6.425</f>
        <v>45071.375</v>
      </c>
      <c r="BW4" s="91"/>
      <c r="BX4" s="91"/>
      <c r="BY4" s="91"/>
      <c r="BZ4" s="91"/>
      <c r="CA4" s="92"/>
      <c r="CB4" s="91"/>
      <c r="CC4" s="91"/>
      <c r="CD4" s="91"/>
      <c r="CE4" s="91"/>
      <c r="CF4" s="91"/>
      <c r="CG4" s="91"/>
      <c r="CH4" s="91"/>
      <c r="CI4" s="91"/>
      <c r="CJ4" s="91"/>
      <c r="CK4" s="91"/>
      <c r="CL4" s="91"/>
      <c r="CM4" s="91"/>
      <c r="CN4" s="91"/>
      <c r="CO4" s="91"/>
      <c r="CP4" s="91"/>
      <c r="CQ4" s="91"/>
      <c r="CR4" s="91"/>
      <c r="CS4" s="91"/>
      <c r="CT4" s="93"/>
      <c r="CU4" s="93"/>
      <c r="CV4" s="93"/>
      <c r="CW4" s="93"/>
      <c r="CX4" s="93"/>
      <c r="CY4" s="93"/>
      <c r="CZ4" s="93"/>
      <c r="DA4" s="93"/>
      <c r="DB4" s="102">
        <f>SUM(BO4:BR4)</f>
        <v>74150.925000000003</v>
      </c>
      <c r="DC4" s="102">
        <f>SUM(BS4:BV4)</f>
        <v>145021.28099999999</v>
      </c>
      <c r="DD4" s="93"/>
      <c r="DE4" s="93"/>
      <c r="DF4" s="93"/>
      <c r="DG4" s="93"/>
      <c r="DH4" s="93"/>
      <c r="DI4" s="93"/>
      <c r="DJ4" s="93"/>
      <c r="DK4" s="93"/>
      <c r="DL4" s="93"/>
      <c r="DM4" s="93"/>
    </row>
    <row r="5" spans="1:149" s="94" customFormat="1" ht="13" customHeight="1">
      <c r="A5" s="89"/>
      <c r="B5" s="90" t="s">
        <v>630</v>
      </c>
      <c r="C5" s="91"/>
      <c r="D5" s="91"/>
      <c r="E5" s="91"/>
      <c r="F5" s="91"/>
      <c r="G5" s="91"/>
      <c r="H5" s="91"/>
      <c r="I5" s="91"/>
      <c r="J5" s="91"/>
      <c r="K5" s="91"/>
      <c r="L5" s="91"/>
      <c r="M5" s="91"/>
      <c r="N5" s="91"/>
      <c r="O5" s="91"/>
      <c r="P5" s="91"/>
      <c r="Q5" s="91"/>
      <c r="R5" s="91"/>
      <c r="S5" s="91"/>
      <c r="T5" s="91"/>
      <c r="U5" s="91"/>
      <c r="V5" s="91"/>
      <c r="W5" s="91"/>
      <c r="X5" s="91"/>
      <c r="Y5" s="91"/>
      <c r="Z5" s="91"/>
      <c r="AA5" s="91"/>
      <c r="AB5" s="91"/>
      <c r="AC5" s="91"/>
      <c r="AD5" s="91"/>
      <c r="AE5" s="91"/>
      <c r="AF5" s="91"/>
      <c r="AG5" s="91"/>
      <c r="AH5" s="91"/>
      <c r="AI5" s="91"/>
      <c r="AJ5" s="91"/>
      <c r="AK5" s="91"/>
      <c r="AL5" s="91"/>
      <c r="AM5" s="91"/>
      <c r="AN5" s="91"/>
      <c r="AO5" s="91"/>
      <c r="AP5" s="91"/>
      <c r="AQ5" s="91"/>
      <c r="AR5" s="91"/>
      <c r="AS5" s="91"/>
      <c r="AT5" s="91"/>
      <c r="AU5" s="91"/>
      <c r="AV5" s="91"/>
      <c r="AW5" s="91"/>
      <c r="AX5" s="91"/>
      <c r="AY5" s="91"/>
      <c r="AZ5" s="91"/>
      <c r="BA5" s="91"/>
      <c r="BB5" s="91"/>
      <c r="BC5" s="91"/>
      <c r="BD5" s="91"/>
      <c r="BE5" s="91"/>
      <c r="BF5" s="91"/>
      <c r="BG5" s="91"/>
      <c r="BH5" s="91"/>
      <c r="BI5" s="91"/>
      <c r="BJ5" s="91"/>
      <c r="BK5" s="95"/>
      <c r="BL5" s="95"/>
      <c r="BM5" s="95"/>
      <c r="BN5" s="95">
        <f>176*6.425</f>
        <v>1130.8</v>
      </c>
      <c r="BO5" s="95">
        <f>517*6.425</f>
        <v>3321.7249999999999</v>
      </c>
      <c r="BP5" s="95">
        <f>1243*6.425</f>
        <v>7986.2749999999996</v>
      </c>
      <c r="BQ5" s="95">
        <f>1258*6.425</f>
        <v>8082.65</v>
      </c>
      <c r="BR5" s="95">
        <f>1907*6.425</f>
        <v>12252.475</v>
      </c>
      <c r="BS5" s="95">
        <f>2312*6.425</f>
        <v>14854.6</v>
      </c>
      <c r="BT5" s="95">
        <f>3381*6.425</f>
        <v>21722.924999999999</v>
      </c>
      <c r="BU5" s="95">
        <f>3588*6.4251</f>
        <v>23053.2588</v>
      </c>
      <c r="BV5" s="95">
        <f>3588*6.425</f>
        <v>23052.899999999998</v>
      </c>
      <c r="BW5" s="91"/>
      <c r="BX5" s="91"/>
      <c r="BY5" s="91"/>
      <c r="BZ5" s="91"/>
      <c r="CA5" s="92"/>
      <c r="CB5" s="91"/>
      <c r="CC5" s="91"/>
      <c r="CD5" s="91"/>
      <c r="CE5" s="91"/>
      <c r="CF5" s="91"/>
      <c r="CG5" s="91"/>
      <c r="CH5" s="91"/>
      <c r="CI5" s="91"/>
      <c r="CJ5" s="91"/>
      <c r="CK5" s="91"/>
      <c r="CL5" s="91"/>
      <c r="CM5" s="91"/>
      <c r="CN5" s="91"/>
      <c r="CO5" s="91"/>
      <c r="CP5" s="91"/>
      <c r="CQ5" s="91"/>
      <c r="CR5" s="91"/>
      <c r="CS5" s="91"/>
      <c r="CT5" s="93"/>
      <c r="CU5" s="93"/>
      <c r="CV5" s="93"/>
      <c r="CW5" s="93"/>
      <c r="CX5" s="93"/>
      <c r="CY5" s="93"/>
      <c r="CZ5" s="93"/>
      <c r="DA5" s="93"/>
      <c r="DB5" s="102">
        <f t="shared" ref="DB5:DB9" si="2">SUM(BO5:BR5)</f>
        <v>31643.125</v>
      </c>
      <c r="DC5" s="102">
        <f t="shared" ref="DC5:DC9" si="3">SUM(BS5:BV5)</f>
        <v>82683.683799999999</v>
      </c>
      <c r="DD5" s="93"/>
      <c r="DE5" s="93"/>
      <c r="DF5" s="93"/>
      <c r="DG5" s="93"/>
      <c r="DH5" s="93"/>
      <c r="DI5" s="93"/>
      <c r="DJ5" s="93"/>
      <c r="DK5" s="93"/>
      <c r="DL5" s="93"/>
      <c r="DM5" s="93"/>
    </row>
    <row r="6" spans="1:149" s="94" customFormat="1" ht="13" customHeight="1">
      <c r="A6" s="89"/>
      <c r="B6" s="90" t="s">
        <v>631</v>
      </c>
      <c r="C6" s="91"/>
      <c r="D6" s="91"/>
      <c r="E6" s="91"/>
      <c r="F6" s="91"/>
      <c r="G6" s="91"/>
      <c r="H6" s="91"/>
      <c r="I6" s="91"/>
      <c r="J6" s="91"/>
      <c r="K6" s="91"/>
      <c r="L6" s="91"/>
      <c r="M6" s="91"/>
      <c r="N6" s="91"/>
      <c r="O6" s="91"/>
      <c r="P6" s="91"/>
      <c r="Q6" s="91"/>
      <c r="R6" s="91"/>
      <c r="S6" s="91"/>
      <c r="T6" s="91"/>
      <c r="U6" s="91"/>
      <c r="V6" s="91"/>
      <c r="W6" s="91"/>
      <c r="X6" s="91"/>
      <c r="Y6" s="91"/>
      <c r="Z6" s="91"/>
      <c r="AA6" s="91"/>
      <c r="AB6" s="91"/>
      <c r="AC6" s="91"/>
      <c r="AD6" s="91"/>
      <c r="AE6" s="91"/>
      <c r="AF6" s="91"/>
      <c r="AG6" s="91"/>
      <c r="AH6" s="91"/>
      <c r="AI6" s="91"/>
      <c r="AJ6" s="91"/>
      <c r="AK6" s="91"/>
      <c r="AL6" s="91"/>
      <c r="AM6" s="91"/>
      <c r="AN6" s="91"/>
      <c r="AO6" s="91"/>
      <c r="AP6" s="91"/>
      <c r="AQ6" s="91"/>
      <c r="AR6" s="91"/>
      <c r="AS6" s="91"/>
      <c r="AT6" s="91"/>
      <c r="AU6" s="91"/>
      <c r="AV6" s="91"/>
      <c r="AW6" s="91"/>
      <c r="AX6" s="91"/>
      <c r="AY6" s="91"/>
      <c r="AZ6" s="91"/>
      <c r="BA6" s="91"/>
      <c r="BB6" s="91"/>
      <c r="BC6" s="91"/>
      <c r="BD6" s="91"/>
      <c r="BE6" s="91"/>
      <c r="BF6" s="91"/>
      <c r="BG6" s="91"/>
      <c r="BH6" s="91"/>
      <c r="BI6" s="91"/>
      <c r="BJ6" s="91"/>
      <c r="BK6" s="95">
        <f>1977*6.425</f>
        <v>12702.225</v>
      </c>
      <c r="BL6" s="95">
        <f>1813*6.425</f>
        <v>11648.525</v>
      </c>
      <c r="BM6" s="95">
        <f>1674*6.425</f>
        <v>10755.449999999999</v>
      </c>
      <c r="BN6" s="95">
        <f>1669*6.425</f>
        <v>10723.324999999999</v>
      </c>
      <c r="BO6" s="95">
        <f>1456*6.425</f>
        <v>9354.7999999999993</v>
      </c>
      <c r="BP6" s="95">
        <f>1246*6.425</f>
        <v>8005.55</v>
      </c>
      <c r="BQ6" s="95">
        <f>1301*6.425</f>
        <v>8358.9249999999993</v>
      </c>
      <c r="BR6" s="95">
        <f>1250*6.425</f>
        <v>8031.25</v>
      </c>
      <c r="BS6" s="95">
        <f>1095*6.425</f>
        <v>7035.375</v>
      </c>
      <c r="BT6" s="95">
        <f>1092*6.425</f>
        <v>7016.0999999999995</v>
      </c>
      <c r="BU6" s="95">
        <f>1052*6.4251</f>
        <v>6759.2051999999994</v>
      </c>
      <c r="BV6" s="95">
        <f>1052*6.425</f>
        <v>6759.0999999999995</v>
      </c>
      <c r="BW6" s="91"/>
      <c r="BX6" s="91"/>
      <c r="BY6" s="91"/>
      <c r="BZ6" s="91"/>
      <c r="CA6" s="92"/>
      <c r="CB6" s="91"/>
      <c r="CC6" s="91"/>
      <c r="CD6" s="91"/>
      <c r="CE6" s="91"/>
      <c r="CF6" s="91"/>
      <c r="CG6" s="91"/>
      <c r="CH6" s="91"/>
      <c r="CI6" s="91"/>
      <c r="CJ6" s="91"/>
      <c r="CK6" s="91"/>
      <c r="CL6" s="91"/>
      <c r="CM6" s="91"/>
      <c r="CN6" s="91"/>
      <c r="CO6" s="91"/>
      <c r="CP6" s="91"/>
      <c r="CQ6" s="91"/>
      <c r="CR6" s="91"/>
      <c r="CS6" s="91"/>
      <c r="CT6" s="93"/>
      <c r="CU6" s="93"/>
      <c r="CV6" s="93"/>
      <c r="CW6" s="93"/>
      <c r="CX6" s="93"/>
      <c r="CY6" s="93"/>
      <c r="CZ6" s="93"/>
      <c r="DA6" s="93"/>
      <c r="DB6" s="102">
        <f t="shared" si="2"/>
        <v>33750.524999999994</v>
      </c>
      <c r="DC6" s="102">
        <f t="shared" si="3"/>
        <v>27569.780199999997</v>
      </c>
      <c r="DD6" s="93"/>
      <c r="DE6" s="93"/>
      <c r="DF6" s="93"/>
      <c r="DG6" s="93"/>
      <c r="DH6" s="93"/>
      <c r="DI6" s="93"/>
      <c r="DJ6" s="93"/>
      <c r="DK6" s="93"/>
      <c r="DL6" s="93"/>
      <c r="DM6" s="93"/>
    </row>
    <row r="7" spans="1:149" s="94" customFormat="1" ht="13" customHeight="1">
      <c r="A7" s="89"/>
      <c r="B7" s="90" t="s">
        <v>173</v>
      </c>
      <c r="C7" s="91"/>
      <c r="D7" s="91"/>
      <c r="E7" s="91"/>
      <c r="F7" s="91"/>
      <c r="G7" s="91"/>
      <c r="H7" s="91"/>
      <c r="I7" s="91"/>
      <c r="J7" s="91"/>
      <c r="K7" s="91"/>
      <c r="L7" s="91"/>
      <c r="M7" s="91"/>
      <c r="N7" s="91"/>
      <c r="O7" s="91"/>
      <c r="P7" s="91"/>
      <c r="Q7" s="91"/>
      <c r="R7" s="91"/>
      <c r="S7" s="91"/>
      <c r="T7" s="91"/>
      <c r="U7" s="91"/>
      <c r="V7" s="91"/>
      <c r="W7" s="91"/>
      <c r="X7" s="91"/>
      <c r="Y7" s="91"/>
      <c r="Z7" s="91"/>
      <c r="AA7" s="91"/>
      <c r="AB7" s="91"/>
      <c r="AC7" s="91"/>
      <c r="AD7" s="91"/>
      <c r="AE7" s="91"/>
      <c r="AF7" s="91"/>
      <c r="AG7" s="91"/>
      <c r="AH7" s="91"/>
      <c r="AI7" s="91"/>
      <c r="AJ7" s="91"/>
      <c r="AK7" s="91"/>
      <c r="AL7" s="91"/>
      <c r="AM7" s="91"/>
      <c r="AN7" s="91"/>
      <c r="AO7" s="91"/>
      <c r="AP7" s="91"/>
      <c r="AQ7" s="91"/>
      <c r="AR7" s="91"/>
      <c r="AS7" s="91"/>
      <c r="AT7" s="91"/>
      <c r="AU7" s="91"/>
      <c r="AV7" s="91"/>
      <c r="AW7" s="91"/>
      <c r="AX7" s="91"/>
      <c r="AY7" s="91"/>
      <c r="AZ7" s="91"/>
      <c r="BA7" s="91"/>
      <c r="BB7" s="91"/>
      <c r="BC7" s="91"/>
      <c r="BD7" s="91"/>
      <c r="BE7" s="91"/>
      <c r="BF7" s="91"/>
      <c r="BG7" s="91"/>
      <c r="BH7" s="91"/>
      <c r="BI7" s="91"/>
      <c r="BJ7" s="91"/>
      <c r="BK7" s="95">
        <f>+BK28</f>
        <v>19640</v>
      </c>
      <c r="BL7" s="95">
        <f t="shared" ref="BL7:BV7" si="4">+BL28</f>
        <v>22101</v>
      </c>
      <c r="BM7" s="95">
        <f t="shared" si="4"/>
        <v>23912</v>
      </c>
      <c r="BN7" s="95">
        <f t="shared" si="4"/>
        <v>30065</v>
      </c>
      <c r="BO7" s="95">
        <f t="shared" si="4"/>
        <v>27810</v>
      </c>
      <c r="BP7" s="95">
        <f t="shared" si="4"/>
        <v>28875</v>
      </c>
      <c r="BQ7" s="95">
        <f t="shared" si="4"/>
        <v>29804</v>
      </c>
      <c r="BR7" s="95">
        <f t="shared" si="4"/>
        <v>33853</v>
      </c>
      <c r="BS7" s="95">
        <f t="shared" si="4"/>
        <v>32721</v>
      </c>
      <c r="BT7" s="95">
        <f t="shared" si="4"/>
        <v>31799</v>
      </c>
      <c r="BU7" s="95">
        <f t="shared" si="4"/>
        <v>30744</v>
      </c>
      <c r="BV7" s="95">
        <f t="shared" si="4"/>
        <v>35545.65</v>
      </c>
      <c r="BW7" s="91"/>
      <c r="BX7" s="91"/>
      <c r="BY7" s="91"/>
      <c r="BZ7" s="91"/>
      <c r="CA7" s="92"/>
      <c r="CB7" s="91"/>
      <c r="CC7" s="91"/>
      <c r="CD7" s="91"/>
      <c r="CE7" s="91"/>
      <c r="CF7" s="91"/>
      <c r="CG7" s="91"/>
      <c r="CH7" s="91"/>
      <c r="CI7" s="91"/>
      <c r="CJ7" s="91"/>
      <c r="CK7" s="91"/>
      <c r="CL7" s="91"/>
      <c r="CM7" s="91"/>
      <c r="CN7" s="91"/>
      <c r="CO7" s="91"/>
      <c r="CP7" s="91"/>
      <c r="CQ7" s="91"/>
      <c r="CR7" s="91"/>
      <c r="CS7" s="91"/>
      <c r="CT7" s="93"/>
      <c r="CU7" s="93"/>
      <c r="CV7" s="93"/>
      <c r="CW7" s="93"/>
      <c r="CX7" s="93"/>
      <c r="CY7" s="93"/>
      <c r="CZ7" s="93"/>
      <c r="DA7" s="93"/>
      <c r="DB7" s="102">
        <f t="shared" si="2"/>
        <v>120342</v>
      </c>
      <c r="DC7" s="102">
        <f t="shared" si="3"/>
        <v>130809.65</v>
      </c>
      <c r="DD7" s="93"/>
      <c r="DE7" s="93"/>
      <c r="DF7" s="93"/>
      <c r="DG7" s="93"/>
      <c r="DH7" s="93"/>
      <c r="DI7" s="93"/>
      <c r="DJ7" s="93"/>
      <c r="DK7" s="93"/>
      <c r="DL7" s="93"/>
      <c r="DM7" s="93"/>
    </row>
    <row r="8" spans="1:149" s="94" customFormat="1" ht="13" customHeight="1">
      <c r="A8" s="89"/>
      <c r="B8" s="90" t="s">
        <v>172</v>
      </c>
      <c r="C8" s="91"/>
      <c r="D8" s="91"/>
      <c r="E8" s="91"/>
      <c r="F8" s="91"/>
      <c r="G8" s="91"/>
      <c r="H8" s="91"/>
      <c r="I8" s="91"/>
      <c r="J8" s="91"/>
      <c r="K8" s="91"/>
      <c r="L8" s="91"/>
      <c r="M8" s="91"/>
      <c r="N8" s="91"/>
      <c r="O8" s="91"/>
      <c r="P8" s="91"/>
      <c r="Q8" s="91"/>
      <c r="R8" s="91"/>
      <c r="S8" s="91"/>
      <c r="T8" s="91"/>
      <c r="U8" s="91"/>
      <c r="V8" s="91"/>
      <c r="W8" s="91"/>
      <c r="X8" s="91"/>
      <c r="Y8" s="91"/>
      <c r="Z8" s="91"/>
      <c r="AA8" s="91"/>
      <c r="AB8" s="91"/>
      <c r="AC8" s="91"/>
      <c r="AD8" s="91"/>
      <c r="AE8" s="91"/>
      <c r="AF8" s="91"/>
      <c r="AG8" s="91"/>
      <c r="AH8" s="91"/>
      <c r="AI8" s="91"/>
      <c r="AJ8" s="91"/>
      <c r="AK8" s="91"/>
      <c r="AL8" s="91"/>
      <c r="AM8" s="91"/>
      <c r="AN8" s="91"/>
      <c r="AO8" s="91"/>
      <c r="AP8" s="91"/>
      <c r="AQ8" s="91"/>
      <c r="AR8" s="91"/>
      <c r="AS8" s="91"/>
      <c r="AT8" s="91"/>
      <c r="AU8" s="91"/>
      <c r="AV8" s="91"/>
      <c r="AW8" s="91"/>
      <c r="AX8" s="91"/>
      <c r="AY8" s="91"/>
      <c r="AZ8" s="91"/>
      <c r="BA8" s="91"/>
      <c r="BB8" s="91"/>
      <c r="BC8" s="91"/>
      <c r="BD8" s="91"/>
      <c r="BE8" s="91"/>
      <c r="BF8" s="91"/>
      <c r="BG8" s="91"/>
      <c r="BH8" s="91"/>
      <c r="BI8" s="91"/>
      <c r="BJ8" s="91"/>
      <c r="BK8" s="95">
        <f>+BK27</f>
        <v>4356</v>
      </c>
      <c r="BL8" s="95">
        <f t="shared" ref="BL8:BV8" si="5">+BL27</f>
        <v>3988</v>
      </c>
      <c r="BM8" s="95">
        <f t="shared" si="5"/>
        <v>4496</v>
      </c>
      <c r="BN8" s="95">
        <f t="shared" si="5"/>
        <v>5910</v>
      </c>
      <c r="BO8" s="95">
        <f t="shared" si="5"/>
        <v>5013</v>
      </c>
      <c r="BP8" s="95">
        <f t="shared" si="5"/>
        <v>5918</v>
      </c>
      <c r="BQ8" s="95">
        <f t="shared" si="5"/>
        <v>5453</v>
      </c>
      <c r="BR8" s="95">
        <f t="shared" si="5"/>
        <v>6917</v>
      </c>
      <c r="BS8" s="95">
        <f t="shared" si="5"/>
        <v>5695</v>
      </c>
      <c r="BT8" s="95">
        <f t="shared" si="5"/>
        <v>5653</v>
      </c>
      <c r="BU8" s="95">
        <f t="shared" si="5"/>
        <v>5442</v>
      </c>
      <c r="BV8" s="95">
        <f t="shared" si="5"/>
        <v>6986.17</v>
      </c>
      <c r="BW8" s="91"/>
      <c r="BX8" s="91"/>
      <c r="BY8" s="91"/>
      <c r="BZ8" s="91"/>
      <c r="CA8" s="92"/>
      <c r="CB8" s="91"/>
      <c r="CC8" s="91"/>
      <c r="CD8" s="91"/>
      <c r="CE8" s="91"/>
      <c r="CF8" s="91"/>
      <c r="CG8" s="91"/>
      <c r="CH8" s="91"/>
      <c r="CI8" s="91"/>
      <c r="CJ8" s="91"/>
      <c r="CK8" s="91"/>
      <c r="CL8" s="91"/>
      <c r="CM8" s="91"/>
      <c r="CN8" s="91"/>
      <c r="CO8" s="91"/>
      <c r="CP8" s="91"/>
      <c r="CQ8" s="91"/>
      <c r="CR8" s="91"/>
      <c r="CS8" s="91"/>
      <c r="CT8" s="93"/>
      <c r="CU8" s="93"/>
      <c r="CV8" s="93"/>
      <c r="CW8" s="93"/>
      <c r="CX8" s="93"/>
      <c r="CY8" s="93"/>
      <c r="CZ8" s="93"/>
      <c r="DA8" s="93"/>
      <c r="DB8" s="102">
        <f t="shared" si="2"/>
        <v>23301</v>
      </c>
      <c r="DC8" s="102">
        <f t="shared" si="3"/>
        <v>23776.17</v>
      </c>
      <c r="DD8" s="93"/>
      <c r="DE8" s="93"/>
      <c r="DF8" s="93"/>
      <c r="DG8" s="93"/>
      <c r="DH8" s="93"/>
      <c r="DI8" s="93"/>
      <c r="DJ8" s="93"/>
      <c r="DK8" s="93"/>
      <c r="DL8" s="93"/>
      <c r="DM8" s="93"/>
    </row>
    <row r="9" spans="1:149" s="94" customFormat="1" ht="13" customHeight="1">
      <c r="A9" s="89"/>
      <c r="B9" s="90" t="s">
        <v>177</v>
      </c>
      <c r="C9" s="91"/>
      <c r="D9" s="91"/>
      <c r="E9" s="91"/>
      <c r="F9" s="91"/>
      <c r="G9" s="91"/>
      <c r="H9" s="91"/>
      <c r="I9" s="91"/>
      <c r="J9" s="91"/>
      <c r="K9" s="91"/>
      <c r="L9" s="91"/>
      <c r="M9" s="91"/>
      <c r="N9" s="91"/>
      <c r="O9" s="91"/>
      <c r="P9" s="91"/>
      <c r="Q9" s="91"/>
      <c r="R9" s="91"/>
      <c r="S9" s="91"/>
      <c r="T9" s="91"/>
      <c r="U9" s="91"/>
      <c r="V9" s="91"/>
      <c r="W9" s="91"/>
      <c r="X9" s="91"/>
      <c r="Y9" s="91"/>
      <c r="Z9" s="91"/>
      <c r="AA9" s="91"/>
      <c r="AB9" s="91"/>
      <c r="AC9" s="91"/>
      <c r="AD9" s="91"/>
      <c r="AE9" s="91"/>
      <c r="AF9" s="91"/>
      <c r="AG9" s="91"/>
      <c r="AH9" s="91"/>
      <c r="AI9" s="91"/>
      <c r="AJ9" s="91"/>
      <c r="AK9" s="91"/>
      <c r="AL9" s="91"/>
      <c r="AM9" s="91"/>
      <c r="AN9" s="91"/>
      <c r="AO9" s="91"/>
      <c r="AP9" s="91"/>
      <c r="AQ9" s="91"/>
      <c r="AR9" s="91"/>
      <c r="AS9" s="91"/>
      <c r="AT9" s="91"/>
      <c r="AU9" s="91"/>
      <c r="AV9" s="91"/>
      <c r="AW9" s="91"/>
      <c r="AX9" s="91"/>
      <c r="AY9" s="91"/>
      <c r="AZ9" s="91"/>
      <c r="BA9" s="91"/>
      <c r="BB9" s="91"/>
      <c r="BC9" s="91"/>
      <c r="BD9" s="91"/>
      <c r="BE9" s="91"/>
      <c r="BF9" s="91"/>
      <c r="BG9" s="91"/>
      <c r="BH9" s="91"/>
      <c r="BI9" s="91"/>
      <c r="BJ9" s="91"/>
      <c r="BK9" s="95">
        <f>+BK31</f>
        <v>4563</v>
      </c>
      <c r="BL9" s="95">
        <f t="shared" ref="BL9:BV9" si="6">+BL31</f>
        <v>7518</v>
      </c>
      <c r="BM9" s="95">
        <f t="shared" si="6"/>
        <v>9648</v>
      </c>
      <c r="BN9" s="95">
        <f t="shared" si="6"/>
        <v>9614</v>
      </c>
      <c r="BO9" s="95">
        <f t="shared" si="6"/>
        <v>9377</v>
      </c>
      <c r="BP9" s="95">
        <f t="shared" si="6"/>
        <v>11659</v>
      </c>
      <c r="BQ9" s="95">
        <f t="shared" si="6"/>
        <v>17304</v>
      </c>
      <c r="BR9" s="95">
        <f t="shared" si="6"/>
        <v>19866</v>
      </c>
      <c r="BS9" s="95">
        <f t="shared" si="6"/>
        <v>17360</v>
      </c>
      <c r="BT9" s="95">
        <f t="shared" si="6"/>
        <v>19528</v>
      </c>
      <c r="BU9" s="95">
        <f t="shared" si="6"/>
        <v>20354</v>
      </c>
      <c r="BV9" s="95">
        <f t="shared" si="6"/>
        <v>20859.3</v>
      </c>
      <c r="BW9" s="91"/>
      <c r="BX9" s="91"/>
      <c r="BY9" s="91"/>
      <c r="BZ9" s="91"/>
      <c r="CA9" s="92"/>
      <c r="CB9" s="91"/>
      <c r="CC9" s="91"/>
      <c r="CD9" s="91"/>
      <c r="CE9" s="91"/>
      <c r="CF9" s="91"/>
      <c r="CG9" s="91"/>
      <c r="CH9" s="91"/>
      <c r="CI9" s="91"/>
      <c r="CJ9" s="91"/>
      <c r="CK9" s="91"/>
      <c r="CL9" s="91"/>
      <c r="CM9" s="91"/>
      <c r="CN9" s="91"/>
      <c r="CO9" s="91"/>
      <c r="CP9" s="91"/>
      <c r="CQ9" s="91"/>
      <c r="CR9" s="91"/>
      <c r="CS9" s="91"/>
      <c r="CT9" s="93"/>
      <c r="CU9" s="93"/>
      <c r="CV9" s="93"/>
      <c r="CW9" s="93"/>
      <c r="CX9" s="93"/>
      <c r="CY9" s="93"/>
      <c r="CZ9" s="93"/>
      <c r="DA9" s="93"/>
      <c r="DB9" s="102">
        <f t="shared" si="2"/>
        <v>58206</v>
      </c>
      <c r="DC9" s="102">
        <f t="shared" si="3"/>
        <v>78101.3</v>
      </c>
      <c r="DD9" s="93"/>
      <c r="DE9" s="93"/>
      <c r="DF9" s="93"/>
      <c r="DG9" s="93"/>
      <c r="DH9" s="93"/>
      <c r="DI9" s="93"/>
      <c r="DJ9" s="93"/>
      <c r="DK9" s="93"/>
      <c r="DL9" s="93"/>
      <c r="DM9" s="93"/>
    </row>
    <row r="10" spans="1:149" s="94" customFormat="1" ht="13" customHeight="1">
      <c r="A10" s="89"/>
      <c r="B10" s="90" t="s">
        <v>633</v>
      </c>
      <c r="C10" s="91"/>
      <c r="D10" s="91"/>
      <c r="E10" s="91"/>
      <c r="F10" s="91"/>
      <c r="G10" s="91"/>
      <c r="H10" s="91"/>
      <c r="I10" s="91"/>
      <c r="J10" s="91"/>
      <c r="K10" s="91"/>
      <c r="L10" s="91"/>
      <c r="M10" s="91"/>
      <c r="N10" s="91"/>
      <c r="O10" s="91"/>
      <c r="P10" s="91"/>
      <c r="Q10" s="91"/>
      <c r="R10" s="91"/>
      <c r="S10" s="91"/>
      <c r="T10" s="91"/>
      <c r="U10" s="91"/>
      <c r="V10" s="91"/>
      <c r="W10" s="91"/>
      <c r="X10" s="91"/>
      <c r="Y10" s="91"/>
      <c r="Z10" s="91"/>
      <c r="AA10" s="91"/>
      <c r="AB10" s="91"/>
      <c r="AC10" s="91"/>
      <c r="AD10" s="91"/>
      <c r="AE10" s="91"/>
      <c r="AF10" s="91"/>
      <c r="AG10" s="91"/>
      <c r="AH10" s="91"/>
      <c r="AI10" s="91"/>
      <c r="AJ10" s="91"/>
      <c r="AK10" s="91"/>
      <c r="AL10" s="91"/>
      <c r="AM10" s="91"/>
      <c r="AN10" s="91"/>
      <c r="AO10" s="91"/>
      <c r="AP10" s="91"/>
      <c r="AQ10" s="91"/>
      <c r="AR10" s="91"/>
      <c r="AS10" s="91"/>
      <c r="AT10" s="91"/>
      <c r="AU10" s="91"/>
      <c r="AV10" s="91"/>
      <c r="AW10" s="91"/>
      <c r="AX10" s="91"/>
      <c r="AY10" s="91"/>
      <c r="AZ10" s="91"/>
      <c r="BA10" s="91"/>
      <c r="BB10" s="91"/>
      <c r="BC10" s="91"/>
      <c r="BD10" s="91"/>
      <c r="BE10" s="91"/>
      <c r="BF10" s="91"/>
      <c r="BG10" s="91"/>
      <c r="BH10" s="91"/>
      <c r="BI10" s="91"/>
      <c r="BJ10" s="91"/>
      <c r="BK10" s="95"/>
      <c r="BL10" s="95"/>
      <c r="BM10" s="95"/>
      <c r="BN10" s="95"/>
      <c r="BO10" s="100">
        <f t="shared" ref="BO10" si="7">BO3/BK3-1</f>
        <v>0.4802062913748788</v>
      </c>
      <c r="BP10" s="100">
        <f t="shared" ref="BP10" si="8">BP3/BL3-1</f>
        <v>0.59651342503034543</v>
      </c>
      <c r="BQ10" s="100">
        <f t="shared" ref="BQ10" si="9">BQ3/BM3-1</f>
        <v>0.5381442176541571</v>
      </c>
      <c r="BR10" s="100">
        <f t="shared" ref="BR10:BT10" si="10">BR3/BN3-1</f>
        <v>0.44659012722944791</v>
      </c>
      <c r="BS10" s="100">
        <f t="shared" si="10"/>
        <v>0.53942266475149081</v>
      </c>
      <c r="BT10" s="100">
        <f t="shared" si="10"/>
        <v>0.44735764578663129</v>
      </c>
      <c r="BU10" s="100">
        <f>BU3/BQ3-1</f>
        <v>0.44054785424409815</v>
      </c>
      <c r="BV10" s="100">
        <f>BV3/BR3-1</f>
        <v>0.33469621976260111</v>
      </c>
      <c r="BW10" s="91"/>
      <c r="BX10" s="91"/>
      <c r="BY10" s="91"/>
      <c r="BZ10" s="91"/>
      <c r="CA10" s="92"/>
      <c r="CB10" s="91"/>
      <c r="CC10" s="91"/>
      <c r="CD10" s="91"/>
      <c r="CE10" s="91"/>
      <c r="CF10" s="91"/>
      <c r="CG10" s="91"/>
      <c r="CH10" s="91"/>
      <c r="CI10" s="91"/>
      <c r="CJ10" s="91"/>
      <c r="CK10" s="91"/>
      <c r="CL10" s="91"/>
      <c r="CM10" s="91"/>
      <c r="CN10" s="91"/>
      <c r="CO10" s="91"/>
      <c r="CP10" s="91"/>
      <c r="CQ10" s="91"/>
      <c r="CR10" s="91"/>
      <c r="CS10" s="91"/>
      <c r="CT10" s="93"/>
      <c r="CU10" s="93"/>
      <c r="CV10" s="93"/>
      <c r="CW10" s="93"/>
      <c r="CX10" s="93"/>
      <c r="CY10" s="93"/>
      <c r="CZ10" s="93"/>
      <c r="DA10" s="93"/>
      <c r="DB10" s="93"/>
      <c r="DC10" s="103">
        <f>DC3/DB3-1</f>
        <v>0.42932351612065367</v>
      </c>
      <c r="DD10" s="93"/>
      <c r="DE10" s="93"/>
      <c r="DF10" s="93"/>
      <c r="DG10" s="93"/>
      <c r="DH10" s="93"/>
      <c r="DI10" s="93"/>
      <c r="DJ10" s="93"/>
      <c r="DK10" s="93"/>
      <c r="DL10" s="93"/>
      <c r="DM10" s="93"/>
    </row>
    <row r="11" spans="1:149" s="94" customFormat="1" ht="13" customHeight="1">
      <c r="A11" s="89"/>
      <c r="B11" s="90" t="s">
        <v>634</v>
      </c>
      <c r="C11" s="91"/>
      <c r="D11" s="91"/>
      <c r="E11" s="91"/>
      <c r="F11" s="91"/>
      <c r="G11" s="91"/>
      <c r="H11" s="91"/>
      <c r="I11" s="91"/>
      <c r="J11" s="91"/>
      <c r="K11" s="91"/>
      <c r="L11" s="91"/>
      <c r="M11" s="91"/>
      <c r="N11" s="91"/>
      <c r="O11" s="91"/>
      <c r="P11" s="91"/>
      <c r="Q11" s="91"/>
      <c r="R11" s="91"/>
      <c r="S11" s="91"/>
      <c r="T11" s="91"/>
      <c r="U11" s="91"/>
      <c r="V11" s="91"/>
      <c r="W11" s="91"/>
      <c r="X11" s="91"/>
      <c r="Y11" s="91"/>
      <c r="Z11" s="91"/>
      <c r="AA11" s="91"/>
      <c r="AB11" s="91"/>
      <c r="AC11" s="91"/>
      <c r="AD11" s="91"/>
      <c r="AE11" s="91"/>
      <c r="AF11" s="91"/>
      <c r="AG11" s="91"/>
      <c r="AH11" s="91"/>
      <c r="AI11" s="91"/>
      <c r="AJ11" s="91"/>
      <c r="AK11" s="91"/>
      <c r="AL11" s="91"/>
      <c r="AM11" s="91"/>
      <c r="AN11" s="91"/>
      <c r="AO11" s="91"/>
      <c r="AP11" s="91"/>
      <c r="AQ11" s="91"/>
      <c r="AR11" s="91"/>
      <c r="AS11" s="91"/>
      <c r="AT11" s="91"/>
      <c r="AU11" s="91"/>
      <c r="AV11" s="91"/>
      <c r="AW11" s="91"/>
      <c r="AX11" s="91"/>
      <c r="AY11" s="91"/>
      <c r="AZ11" s="91"/>
      <c r="BA11" s="91"/>
      <c r="BB11" s="91"/>
      <c r="BC11" s="91"/>
      <c r="BD11" s="91"/>
      <c r="BE11" s="91"/>
      <c r="BF11" s="91"/>
      <c r="BG11" s="91"/>
      <c r="BH11" s="91"/>
      <c r="BI11" s="91"/>
      <c r="BJ11" s="91"/>
      <c r="BK11" s="95"/>
      <c r="BL11" s="95"/>
      <c r="BM11" s="95"/>
      <c r="BN11" s="95"/>
      <c r="BO11" s="100">
        <f t="shared" ref="BO11" si="11">SUM(BO4:BO6)/SUM(BK4:BK6)-1</f>
        <v>0.48468185388845253</v>
      </c>
      <c r="BP11" s="100">
        <f t="shared" ref="BP11" si="12">SUM(BP4:BP6)/SUM(BL4:BL6)-1</f>
        <v>0.99785177228786237</v>
      </c>
      <c r="BQ11" s="100">
        <f t="shared" ref="BQ11" si="13">SUM(BQ4:BQ6)/SUM(BM4:BM6)-1</f>
        <v>0.83976646123905274</v>
      </c>
      <c r="BR11" s="100">
        <f t="shared" ref="BR11:BT11" si="14">SUM(BR4:BR6)/SUM(BN4:BN6)-1</f>
        <v>0.65070352999259473</v>
      </c>
      <c r="BS11" s="100">
        <f t="shared" si="14"/>
        <v>0.9177248677248675</v>
      </c>
      <c r="BT11" s="100">
        <f t="shared" si="14"/>
        <v>0.73333333333333339</v>
      </c>
      <c r="BU11" s="100">
        <f>SUM(BU4:BU6)/SUM(BQ4:BQ6)-1</f>
        <v>0.96676266237864494</v>
      </c>
      <c r="BV11" s="100">
        <f>SUM(BV4:BV6)/SUM(BR4:BR6)-1</f>
        <v>0.74293405114401079</v>
      </c>
      <c r="BW11" s="91"/>
      <c r="BX11" s="91"/>
      <c r="BY11" s="91"/>
      <c r="BZ11" s="91"/>
      <c r="CA11" s="92"/>
      <c r="CB11" s="91"/>
      <c r="CC11" s="91"/>
      <c r="CD11" s="91"/>
      <c r="CE11" s="91"/>
      <c r="CF11" s="91"/>
      <c r="CG11" s="91"/>
      <c r="CH11" s="91"/>
      <c r="CI11" s="91"/>
      <c r="CJ11" s="91"/>
      <c r="CK11" s="91"/>
      <c r="CL11" s="91"/>
      <c r="CM11" s="91"/>
      <c r="CN11" s="91"/>
      <c r="CO11" s="91"/>
      <c r="CP11" s="91"/>
      <c r="CQ11" s="91"/>
      <c r="CR11" s="91"/>
      <c r="CS11" s="91"/>
      <c r="CT11" s="93"/>
      <c r="CU11" s="93"/>
      <c r="CV11" s="93"/>
      <c r="CW11" s="93"/>
      <c r="CX11" s="93"/>
      <c r="CY11" s="93"/>
      <c r="CZ11" s="93"/>
      <c r="DA11" s="93"/>
      <c r="DB11" s="93"/>
      <c r="DC11" s="100">
        <f>SUM(DC4:DC6)/SUM(DB4:DB6)-1</f>
        <v>0.82934195041261893</v>
      </c>
      <c r="DD11" s="93"/>
      <c r="DE11" s="93"/>
      <c r="DF11" s="93"/>
      <c r="DG11" s="93"/>
      <c r="DH11" s="93"/>
      <c r="DI11" s="93"/>
      <c r="DJ11" s="93"/>
      <c r="DK11" s="93"/>
      <c r="DL11" s="93"/>
      <c r="DM11" s="93"/>
    </row>
    <row r="12" spans="1:149" s="94" customFormat="1" ht="13" customHeight="1">
      <c r="A12" s="89"/>
      <c r="B12" s="90" t="s">
        <v>635</v>
      </c>
      <c r="C12" s="91"/>
      <c r="D12" s="91"/>
      <c r="E12" s="91"/>
      <c r="F12" s="91"/>
      <c r="G12" s="91"/>
      <c r="H12" s="91"/>
      <c r="I12" s="91"/>
      <c r="J12" s="91"/>
      <c r="K12" s="91"/>
      <c r="L12" s="91"/>
      <c r="M12" s="91"/>
      <c r="N12" s="91"/>
      <c r="O12" s="91"/>
      <c r="P12" s="91"/>
      <c r="Q12" s="91"/>
      <c r="R12" s="91"/>
      <c r="S12" s="91"/>
      <c r="T12" s="91"/>
      <c r="U12" s="91"/>
      <c r="V12" s="91"/>
      <c r="W12" s="91"/>
      <c r="X12" s="91"/>
      <c r="Y12" s="91"/>
      <c r="Z12" s="91"/>
      <c r="AA12" s="91"/>
      <c r="AB12" s="91"/>
      <c r="AC12" s="91"/>
      <c r="AD12" s="91"/>
      <c r="AE12" s="91"/>
      <c r="AF12" s="91"/>
      <c r="AG12" s="91"/>
      <c r="AH12" s="91"/>
      <c r="AI12" s="91"/>
      <c r="AJ12" s="91"/>
      <c r="AK12" s="91"/>
      <c r="AL12" s="91"/>
      <c r="AM12" s="91"/>
      <c r="AN12" s="91"/>
      <c r="AO12" s="91"/>
      <c r="AP12" s="91"/>
      <c r="AQ12" s="91"/>
      <c r="AR12" s="91"/>
      <c r="AS12" s="91"/>
      <c r="AT12" s="91"/>
      <c r="AU12" s="91"/>
      <c r="AV12" s="91"/>
      <c r="AW12" s="91"/>
      <c r="AX12" s="91"/>
      <c r="AY12" s="91"/>
      <c r="AZ12" s="91"/>
      <c r="BA12" s="91"/>
      <c r="BB12" s="91"/>
      <c r="BC12" s="91"/>
      <c r="BD12" s="91"/>
      <c r="BE12" s="91"/>
      <c r="BF12" s="91"/>
      <c r="BG12" s="91"/>
      <c r="BH12" s="91"/>
      <c r="BI12" s="91"/>
      <c r="BJ12" s="91"/>
      <c r="BK12" s="95"/>
      <c r="BL12" s="95"/>
      <c r="BM12" s="95"/>
      <c r="BN12" s="95"/>
      <c r="BO12" s="100">
        <f t="shared" ref="BO12" si="15">SUM(BO7:BO9)/SUM(BK7:BK9)-1</f>
        <v>0.47764277460695403</v>
      </c>
      <c r="BP12" s="100">
        <f t="shared" ref="BP12" si="16">SUM(BP7:BP9)/SUM(BL7:BL9)-1</f>
        <v>0.38221203915850865</v>
      </c>
      <c r="BQ12" s="100">
        <f t="shared" ref="BQ12" si="17">SUM(BQ7:BQ9)/SUM(BM7:BM9)-1</f>
        <v>0.3811488332982973</v>
      </c>
      <c r="BR12" s="100">
        <f t="shared" ref="BR12:BT12" si="18">SUM(BR7:BR9)/SUM(BN7:BN9)-1</f>
        <v>0.33005768935488833</v>
      </c>
      <c r="BS12" s="100">
        <f t="shared" si="18"/>
        <v>0.32170616113744077</v>
      </c>
      <c r="BT12" s="100">
        <f t="shared" si="18"/>
        <v>0.22664255575647974</v>
      </c>
      <c r="BU12" s="100">
        <f>SUM(BU7:BU9)/SUM(BQ7:BQ9)-1</f>
        <v>7.5702517075398212E-2</v>
      </c>
      <c r="BV12" s="100">
        <f>SUM(BV7:BV9)/SUM(BR7:BR9)-1</f>
        <v>4.5437034105151985E-2</v>
      </c>
      <c r="BW12" s="91"/>
      <c r="BX12" s="91"/>
      <c r="BY12" s="91"/>
      <c r="BZ12" s="91"/>
      <c r="CA12" s="92"/>
      <c r="CB12" s="91"/>
      <c r="CC12" s="91"/>
      <c r="CD12" s="91"/>
      <c r="CE12" s="91"/>
      <c r="CF12" s="91"/>
      <c r="CG12" s="91"/>
      <c r="CH12" s="91"/>
      <c r="CI12" s="91"/>
      <c r="CJ12" s="91"/>
      <c r="CK12" s="91"/>
      <c r="CL12" s="91"/>
      <c r="CM12" s="91"/>
      <c r="CN12" s="91"/>
      <c r="CO12" s="91"/>
      <c r="CP12" s="91"/>
      <c r="CQ12" s="91"/>
      <c r="CR12" s="91"/>
      <c r="CS12" s="91"/>
      <c r="CT12" s="93"/>
      <c r="CU12" s="93"/>
      <c r="CV12" s="93"/>
      <c r="CW12" s="93"/>
      <c r="CX12" s="93"/>
      <c r="CY12" s="93"/>
      <c r="CZ12" s="93"/>
      <c r="DA12" s="93"/>
      <c r="DB12" s="93"/>
      <c r="DC12" s="100">
        <f>SUM(DC7:DC9)/SUM(DB7:DB9)-1</f>
        <v>0.15277816585665516</v>
      </c>
      <c r="DD12" s="93"/>
      <c r="DE12" s="93"/>
      <c r="DF12" s="93"/>
      <c r="DG12" s="93"/>
      <c r="DH12" s="93"/>
      <c r="DI12" s="93"/>
      <c r="DJ12" s="93"/>
      <c r="DK12" s="93"/>
      <c r="DL12" s="93"/>
      <c r="DM12" s="93"/>
    </row>
    <row r="13" spans="1:149" ht="13" customHeight="1">
      <c r="A13" s="40"/>
      <c r="B13" s="77"/>
      <c r="C13" s="41"/>
      <c r="D13" s="41"/>
      <c r="E13" s="41"/>
      <c r="F13" s="41"/>
      <c r="G13" s="41"/>
      <c r="H13" s="41"/>
      <c r="I13" s="41"/>
      <c r="J13" s="41"/>
      <c r="K13" s="41"/>
      <c r="L13" s="41"/>
      <c r="M13" s="41"/>
      <c r="N13" s="41"/>
      <c r="O13" s="41"/>
      <c r="P13" s="41"/>
      <c r="Q13" s="41"/>
      <c r="R13" s="41"/>
      <c r="S13" s="41"/>
      <c r="T13" s="41"/>
      <c r="U13" s="41"/>
      <c r="V13" s="41"/>
      <c r="W13" s="41"/>
      <c r="X13" s="41"/>
      <c r="Y13" s="41"/>
      <c r="Z13" s="41"/>
      <c r="AA13" s="41"/>
      <c r="AB13" s="41"/>
      <c r="AC13" s="41"/>
      <c r="AD13" s="41"/>
      <c r="AE13" s="41"/>
      <c r="AF13" s="41"/>
      <c r="AG13" s="41"/>
      <c r="AH13" s="41"/>
      <c r="AI13" s="41"/>
      <c r="AJ13" s="41"/>
      <c r="AK13" s="41"/>
      <c r="AL13" s="41"/>
      <c r="AM13" s="41"/>
      <c r="AN13" s="41"/>
      <c r="AO13" s="41"/>
      <c r="AP13" s="41"/>
      <c r="AQ13" s="41"/>
      <c r="AR13" s="41"/>
      <c r="AS13" s="41"/>
      <c r="AT13" s="41"/>
      <c r="AU13" s="41"/>
      <c r="AV13" s="41"/>
      <c r="AW13" s="41"/>
      <c r="AX13" s="41"/>
      <c r="AY13" s="41"/>
      <c r="AZ13" s="41"/>
      <c r="BA13" s="41"/>
      <c r="BB13" s="41"/>
      <c r="BC13" s="41"/>
      <c r="BD13" s="41"/>
      <c r="BE13" s="41"/>
      <c r="BF13" s="41"/>
      <c r="BG13" s="41"/>
      <c r="BH13" s="41"/>
      <c r="BI13" s="41"/>
      <c r="BJ13" s="41"/>
      <c r="BK13" s="41"/>
      <c r="BL13" s="41"/>
      <c r="BM13" s="41"/>
      <c r="BN13" s="41"/>
      <c r="BO13" s="41"/>
      <c r="BP13" s="41"/>
      <c r="BQ13" s="41"/>
      <c r="BR13" s="41"/>
      <c r="BS13" s="41"/>
      <c r="BT13" s="41"/>
      <c r="BU13" s="41"/>
      <c r="BV13" s="41"/>
      <c r="BW13" s="41"/>
      <c r="BX13" s="41"/>
      <c r="BY13" s="41"/>
      <c r="BZ13" s="41"/>
      <c r="CA13" s="42"/>
      <c r="CB13" s="41"/>
      <c r="CC13" s="41"/>
      <c r="CD13" s="41"/>
      <c r="CE13" s="41"/>
      <c r="CF13" s="41"/>
      <c r="CG13" s="41"/>
      <c r="CH13" s="41"/>
      <c r="CI13" s="41"/>
      <c r="CJ13" s="41"/>
      <c r="CK13" s="41"/>
      <c r="CL13" s="41"/>
      <c r="CM13" s="41"/>
      <c r="CN13" s="41"/>
      <c r="CO13" s="41"/>
      <c r="CP13" s="41"/>
      <c r="CQ13" s="41"/>
      <c r="CR13" s="41"/>
      <c r="CS13" s="41"/>
      <c r="CT13" s="58"/>
      <c r="CU13" s="58"/>
      <c r="CV13" s="58"/>
      <c r="CW13" s="58"/>
      <c r="CX13" s="58"/>
      <c r="CY13" s="58"/>
      <c r="CZ13" s="58"/>
      <c r="DA13" s="58"/>
      <c r="DB13" s="58"/>
      <c r="DC13" s="58"/>
      <c r="DD13" s="58"/>
      <c r="DE13" s="58"/>
      <c r="DF13" s="58"/>
      <c r="DG13" s="58"/>
      <c r="DH13" s="58"/>
      <c r="DI13" s="58"/>
      <c r="DJ13" s="58"/>
      <c r="DK13" s="58"/>
      <c r="DL13" s="58"/>
      <c r="DM13" s="58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  <c r="EP13" s="39"/>
      <c r="EQ13" s="39"/>
      <c r="ER13" s="39"/>
      <c r="ES13" s="39"/>
    </row>
    <row r="14" spans="1:149" s="17" customFormat="1" ht="13" customHeight="1">
      <c r="A14" s="35"/>
      <c r="B14" s="35" t="s">
        <v>122</v>
      </c>
      <c r="C14" s="43"/>
      <c r="D14" s="43"/>
      <c r="E14" s="43"/>
      <c r="F14" s="43"/>
      <c r="G14" s="43"/>
      <c r="H14" s="43"/>
      <c r="I14" s="43"/>
      <c r="J14" s="43"/>
      <c r="K14" s="43">
        <v>2616</v>
      </c>
      <c r="L14" s="43">
        <f>5659-K14</f>
        <v>3043</v>
      </c>
      <c r="M14" s="43">
        <f>8691-L14-K14</f>
        <v>3032</v>
      </c>
      <c r="N14" s="43">
        <f>11900-M14-L14-K14</f>
        <v>3209</v>
      </c>
      <c r="O14" s="43">
        <v>2955</v>
      </c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>
        <v>3901</v>
      </c>
      <c r="AB14" s="43">
        <f>8152-AA14</f>
        <v>4251</v>
      </c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>
        <v>4695</v>
      </c>
      <c r="AR14" s="43">
        <v>4799</v>
      </c>
      <c r="AS14" s="43">
        <v>4445</v>
      </c>
      <c r="AT14" s="43">
        <v>4824</v>
      </c>
      <c r="AU14" s="43">
        <v>4746</v>
      </c>
      <c r="AV14" s="43">
        <v>4486</v>
      </c>
      <c r="AW14" s="43">
        <v>4331</v>
      </c>
      <c r="AX14" s="43">
        <v>4497</v>
      </c>
      <c r="AY14" s="43">
        <v>4724</v>
      </c>
      <c r="AZ14" s="43">
        <v>4093</v>
      </c>
      <c r="BA14" s="43">
        <v>4244</v>
      </c>
      <c r="BB14" s="43">
        <v>3867</v>
      </c>
      <c r="BC14" s="43">
        <v>4154</v>
      </c>
      <c r="BD14" s="43">
        <v>3817</v>
      </c>
      <c r="BE14" s="43">
        <v>3943</v>
      </c>
      <c r="BF14" s="43">
        <v>4025</v>
      </c>
      <c r="BG14" s="43">
        <v>4345</v>
      </c>
      <c r="BH14" s="43">
        <v>3371</v>
      </c>
      <c r="BI14" s="43">
        <v>3778</v>
      </c>
      <c r="BJ14" s="43">
        <v>3966</v>
      </c>
      <c r="BK14" s="43">
        <v>3970</v>
      </c>
      <c r="BL14" s="43">
        <v>3064</v>
      </c>
      <c r="BM14" s="43">
        <v>3234</v>
      </c>
      <c r="BN14" s="43">
        <v>3508</v>
      </c>
      <c r="BO14" s="43">
        <v>3920</v>
      </c>
      <c r="BP14" s="43">
        <v>3303</v>
      </c>
      <c r="BQ14" s="43">
        <v>3756</v>
      </c>
      <c r="BR14" s="43">
        <v>5674</v>
      </c>
      <c r="BS14" s="43">
        <v>4218</v>
      </c>
      <c r="BT14" s="43">
        <v>4027</v>
      </c>
      <c r="BU14" s="43">
        <v>3477</v>
      </c>
      <c r="BV14" s="43"/>
      <c r="BW14" s="43"/>
      <c r="BX14" s="43"/>
      <c r="BY14" s="43"/>
      <c r="BZ14" s="43"/>
      <c r="CA14" s="44"/>
      <c r="CB14" s="43"/>
      <c r="CC14" s="43"/>
      <c r="CD14" s="43"/>
      <c r="CE14" s="43"/>
      <c r="CF14" s="43"/>
      <c r="CG14" s="43"/>
      <c r="CH14" s="43"/>
      <c r="CI14" s="43"/>
      <c r="CJ14" s="43"/>
      <c r="CK14" s="43"/>
      <c r="CL14" s="43"/>
      <c r="CM14" s="43"/>
      <c r="CN14" s="43"/>
      <c r="CO14" s="43"/>
      <c r="CP14" s="43"/>
      <c r="CQ14" s="43"/>
      <c r="CR14" s="43"/>
      <c r="CS14" s="43"/>
      <c r="CT14" s="45"/>
      <c r="CU14" s="45"/>
      <c r="CV14" s="45"/>
      <c r="CW14" s="45"/>
      <c r="CX14" s="45">
        <f>SUM(AY14:BB14)</f>
        <v>16928</v>
      </c>
      <c r="CY14" s="45">
        <f>SUM(BC14:BF14)</f>
        <v>15939</v>
      </c>
      <c r="CZ14" s="45">
        <f>SUM(BG14:BJ14)</f>
        <v>15460</v>
      </c>
      <c r="DA14" s="45">
        <f>SUM(BK14:BN14)</f>
        <v>13776</v>
      </c>
      <c r="DB14" s="45">
        <f t="shared" ref="DB14:DB21" si="19">SUM(BO14:BR14)</f>
        <v>16653</v>
      </c>
      <c r="DC14" s="45">
        <f t="shared" ref="DC14:DC40" si="20">SUM(BS14:BV14)</f>
        <v>11722</v>
      </c>
      <c r="DD14" s="45"/>
      <c r="DE14" s="45"/>
      <c r="DF14" s="45"/>
      <c r="DG14" s="45"/>
      <c r="DH14" s="45"/>
      <c r="DI14" s="45"/>
      <c r="DJ14" s="45"/>
      <c r="DK14" s="45"/>
      <c r="DL14" s="45"/>
      <c r="DM14" s="45"/>
      <c r="DN14" s="45"/>
      <c r="DO14" s="45"/>
      <c r="DP14" s="45"/>
      <c r="DQ14" s="45"/>
      <c r="DR14" s="45"/>
      <c r="DS14" s="45"/>
      <c r="DT14" s="45"/>
      <c r="DU14" s="45"/>
      <c r="DV14" s="45"/>
      <c r="DW14" s="45"/>
      <c r="DX14" s="45"/>
      <c r="DY14" s="45"/>
      <c r="DZ14" s="45"/>
      <c r="EA14" s="45"/>
      <c r="EB14" s="45"/>
      <c r="EC14" s="45"/>
      <c r="ED14" s="45"/>
      <c r="EE14" s="45"/>
      <c r="EF14" s="45"/>
      <c r="EG14" s="45"/>
      <c r="EH14" s="45"/>
      <c r="EI14" s="45"/>
      <c r="EJ14" s="45"/>
      <c r="EK14" s="45"/>
      <c r="EL14" s="45"/>
      <c r="EM14" s="45"/>
      <c r="EN14" s="45"/>
      <c r="EO14" s="45"/>
      <c r="EP14" s="45"/>
      <c r="EQ14" s="45"/>
      <c r="ER14" s="45"/>
      <c r="ES14" s="45"/>
    </row>
    <row r="15" spans="1:149" s="17" customFormat="1" ht="13" customHeight="1">
      <c r="A15" s="35"/>
      <c r="B15" s="35" t="s">
        <v>175</v>
      </c>
      <c r="C15" s="43"/>
      <c r="D15" s="43"/>
      <c r="E15" s="43"/>
      <c r="F15" s="43"/>
      <c r="G15" s="43"/>
      <c r="H15" s="43"/>
      <c r="I15" s="43"/>
      <c r="J15" s="43"/>
      <c r="K15" s="43"/>
      <c r="L15" s="43"/>
      <c r="M15" s="43"/>
      <c r="N15" s="43"/>
      <c r="O15" s="43"/>
      <c r="P15" s="43"/>
      <c r="Q15" s="43"/>
      <c r="R15" s="43"/>
      <c r="S15" s="43"/>
      <c r="T15" s="43"/>
      <c r="U15" s="43"/>
      <c r="V15" s="43"/>
      <c r="W15" s="43"/>
      <c r="X15" s="43"/>
      <c r="Y15" s="43"/>
      <c r="Z15" s="43"/>
      <c r="AA15" s="43"/>
      <c r="AB15" s="43"/>
      <c r="AC15" s="43"/>
      <c r="AD15" s="43"/>
      <c r="AE15" s="43"/>
      <c r="AF15" s="43"/>
      <c r="AG15" s="43"/>
      <c r="AH15" s="43"/>
      <c r="AI15" s="43"/>
      <c r="AJ15" s="43"/>
      <c r="AK15" s="43"/>
      <c r="AL15" s="43"/>
      <c r="AM15" s="43"/>
      <c r="AN15" s="43"/>
      <c r="AO15" s="43"/>
      <c r="AP15" s="43"/>
      <c r="AQ15" s="17">
        <v>83</v>
      </c>
      <c r="AR15" s="43">
        <f>2587-AR16</f>
        <v>179</v>
      </c>
      <c r="AS15" s="43">
        <f>2527-AS16</f>
        <v>195</v>
      </c>
      <c r="AT15" s="43">
        <v>206</v>
      </c>
      <c r="AU15" s="43">
        <v>231</v>
      </c>
      <c r="AV15" s="43">
        <v>272</v>
      </c>
      <c r="AW15" s="43">
        <v>301</v>
      </c>
      <c r="AX15" s="43">
        <v>439</v>
      </c>
      <c r="AY15" s="43">
        <v>390</v>
      </c>
      <c r="AZ15" s="43">
        <v>286</v>
      </c>
      <c r="BA15" s="43">
        <v>345</v>
      </c>
      <c r="BB15" s="43">
        <v>364</v>
      </c>
      <c r="BC15" s="43">
        <v>402</v>
      </c>
      <c r="BD15" s="43">
        <v>435</v>
      </c>
      <c r="BE15" s="43">
        <v>416</v>
      </c>
      <c r="BF15" s="43">
        <v>495</v>
      </c>
      <c r="BG15" s="43">
        <v>497</v>
      </c>
      <c r="BH15" s="43">
        <v>516</v>
      </c>
      <c r="BI15" s="43">
        <v>485</v>
      </c>
      <c r="BJ15" s="43">
        <v>505</v>
      </c>
      <c r="BK15" s="43">
        <v>518</v>
      </c>
      <c r="BL15" s="43">
        <v>447</v>
      </c>
      <c r="BM15" s="43">
        <v>574</v>
      </c>
      <c r="BN15" s="43">
        <v>634</v>
      </c>
      <c r="BO15" s="43">
        <v>567</v>
      </c>
      <c r="BP15" s="43">
        <v>565</v>
      </c>
      <c r="BQ15" s="43">
        <v>394</v>
      </c>
      <c r="BR15" s="43">
        <v>343</v>
      </c>
      <c r="BS15" s="43">
        <v>834</v>
      </c>
      <c r="BT15" s="43">
        <v>515</v>
      </c>
      <c r="BU15" s="43">
        <v>632</v>
      </c>
      <c r="BV15" s="43"/>
      <c r="BW15" s="43"/>
      <c r="BX15" s="43"/>
      <c r="BY15" s="43"/>
      <c r="BZ15" s="43"/>
      <c r="CA15" s="44"/>
      <c r="CB15" s="43"/>
      <c r="CC15" s="43"/>
      <c r="CD15" s="43"/>
      <c r="CE15" s="43"/>
      <c r="CF15" s="43"/>
      <c r="CG15" s="43"/>
      <c r="CH15" s="43"/>
      <c r="CI15" s="43"/>
      <c r="CJ15" s="43"/>
      <c r="CK15" s="43"/>
      <c r="CL15" s="43"/>
      <c r="CM15" s="43"/>
      <c r="CN15" s="43"/>
      <c r="CO15" s="43"/>
      <c r="CP15" s="43"/>
      <c r="CQ15" s="43"/>
      <c r="CR15" s="43"/>
      <c r="CS15" s="43"/>
      <c r="CT15" s="45"/>
      <c r="CU15" s="45"/>
      <c r="CV15" s="45"/>
      <c r="CW15" s="45"/>
      <c r="CX15" s="45">
        <f t="shared" ref="CX15:CX21" si="21">SUM(AY15:BB15)</f>
        <v>1385</v>
      </c>
      <c r="CY15" s="45">
        <f t="shared" ref="CY15:CY21" si="22">SUM(BC15:BF15)</f>
        <v>1748</v>
      </c>
      <c r="CZ15" s="45">
        <f t="shared" ref="CZ15:CZ21" si="23">SUM(BG15:BJ15)</f>
        <v>2003</v>
      </c>
      <c r="DA15" s="45">
        <f t="shared" ref="DA15:DA21" si="24">SUM(BK15:BN15)</f>
        <v>2173</v>
      </c>
      <c r="DB15" s="45">
        <f t="shared" si="19"/>
        <v>1869</v>
      </c>
      <c r="DC15" s="45">
        <f t="shared" si="20"/>
        <v>1981</v>
      </c>
      <c r="DD15" s="45"/>
      <c r="DE15" s="45"/>
      <c r="DF15" s="45"/>
      <c r="DG15" s="45"/>
      <c r="DH15" s="45"/>
      <c r="DI15" s="45"/>
      <c r="DJ15" s="45"/>
      <c r="DK15" s="45"/>
      <c r="DL15" s="45"/>
      <c r="DM15" s="45"/>
      <c r="DN15" s="45"/>
      <c r="DO15" s="45"/>
      <c r="DP15" s="45"/>
      <c r="DQ15" s="45"/>
      <c r="DR15" s="45"/>
      <c r="DS15" s="45"/>
      <c r="DT15" s="45"/>
      <c r="DU15" s="45"/>
      <c r="DV15" s="45"/>
      <c r="DW15" s="45"/>
      <c r="DX15" s="45"/>
      <c r="DY15" s="45"/>
      <c r="DZ15" s="45"/>
      <c r="EA15" s="45"/>
      <c r="EB15" s="45"/>
      <c r="EC15" s="45"/>
      <c r="ED15" s="45"/>
      <c r="EE15" s="45"/>
      <c r="EF15" s="45"/>
      <c r="EG15" s="45"/>
      <c r="EH15" s="45"/>
      <c r="EI15" s="45"/>
      <c r="EJ15" s="45"/>
      <c r="EK15" s="45"/>
      <c r="EL15" s="45"/>
      <c r="EM15" s="45"/>
      <c r="EN15" s="45"/>
      <c r="EO15" s="45"/>
      <c r="EP15" s="45"/>
      <c r="EQ15" s="45"/>
      <c r="ER15" s="45"/>
      <c r="ES15" s="45"/>
    </row>
    <row r="16" spans="1:149" s="17" customFormat="1" ht="13" customHeight="1">
      <c r="A16" s="35"/>
      <c r="B16" s="35" t="s">
        <v>123</v>
      </c>
      <c r="C16" s="43"/>
      <c r="D16" s="43"/>
      <c r="E16" s="43"/>
      <c r="F16" s="43"/>
      <c r="G16" s="43"/>
      <c r="H16" s="43"/>
      <c r="I16" s="43"/>
      <c r="J16" s="43"/>
      <c r="K16" s="43">
        <v>1729</v>
      </c>
      <c r="L16" s="43">
        <f>3718-K16</f>
        <v>1989</v>
      </c>
      <c r="M16" s="43">
        <f>5716-L16-K16</f>
        <v>1998</v>
      </c>
      <c r="N16" s="43">
        <f>7821-M16-L16-K16</f>
        <v>2105</v>
      </c>
      <c r="O16" s="43">
        <v>1975</v>
      </c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>
        <v>2358</v>
      </c>
      <c r="AB16" s="43">
        <f>4840-AA16</f>
        <v>2482</v>
      </c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2501</v>
      </c>
      <c r="AR16" s="43">
        <v>2408</v>
      </c>
      <c r="AS16" s="43">
        <v>2332</v>
      </c>
      <c r="AT16" s="43">
        <v>2239</v>
      </c>
      <c r="AU16" s="43">
        <v>2545</v>
      </c>
      <c r="AV16" s="43">
        <v>2303</v>
      </c>
      <c r="AW16" s="43">
        <v>2318</v>
      </c>
      <c r="AX16" s="43">
        <v>2419</v>
      </c>
      <c r="AY16" s="43">
        <v>2618</v>
      </c>
      <c r="AZ16" s="43">
        <v>2359</v>
      </c>
      <c r="BA16" s="43">
        <v>2276</v>
      </c>
      <c r="BB16" s="43">
        <v>2381</v>
      </c>
      <c r="BC16" s="43">
        <v>2533</v>
      </c>
      <c r="BD16" s="43">
        <v>2294</v>
      </c>
      <c r="BE16" s="43">
        <v>2398</v>
      </c>
      <c r="BF16" s="43">
        <v>2267</v>
      </c>
      <c r="BG16" s="43">
        <v>2375</v>
      </c>
      <c r="BH16" s="43">
        <v>1786</v>
      </c>
      <c r="BI16" s="43">
        <v>1899</v>
      </c>
      <c r="BJ16" s="43">
        <v>1613</v>
      </c>
      <c r="BK16" s="43">
        <v>1805</v>
      </c>
      <c r="BL16" s="43">
        <v>1470</v>
      </c>
      <c r="BM16" s="43">
        <v>1355</v>
      </c>
      <c r="BN16" s="43">
        <v>1214</v>
      </c>
      <c r="BO16" s="43">
        <v>1701</v>
      </c>
      <c r="BP16" s="43">
        <v>1273</v>
      </c>
      <c r="BQ16" s="43">
        <v>1365</v>
      </c>
      <c r="BR16" s="43">
        <v>1521</v>
      </c>
      <c r="BS16" s="43">
        <v>1381</v>
      </c>
      <c r="BT16" s="43">
        <v>1273</v>
      </c>
      <c r="BU16" s="43">
        <v>1068</v>
      </c>
      <c r="BV16" s="43"/>
      <c r="BW16" s="43"/>
      <c r="BX16" s="43"/>
      <c r="BY16" s="43"/>
      <c r="BZ16" s="43"/>
      <c r="CA16" s="44"/>
      <c r="CB16" s="43"/>
      <c r="CC16" s="43"/>
      <c r="CD16" s="43"/>
      <c r="CE16" s="43"/>
      <c r="CF16" s="43"/>
      <c r="CG16" s="43"/>
      <c r="CH16" s="43"/>
      <c r="CI16" s="43"/>
      <c r="CJ16" s="43"/>
      <c r="CK16" s="43"/>
      <c r="CL16" s="43"/>
      <c r="CM16" s="43"/>
      <c r="CN16" s="43"/>
      <c r="CO16" s="43"/>
      <c r="CP16" s="43"/>
      <c r="CQ16" s="43"/>
      <c r="CR16" s="43"/>
      <c r="CS16" s="43"/>
      <c r="CT16" s="45"/>
      <c r="CU16" s="45"/>
      <c r="CV16" s="45"/>
      <c r="CW16" s="45"/>
      <c r="CX16" s="45">
        <f t="shared" si="21"/>
        <v>9634</v>
      </c>
      <c r="CY16" s="45">
        <f t="shared" si="22"/>
        <v>9492</v>
      </c>
      <c r="CZ16" s="45">
        <f t="shared" si="23"/>
        <v>7673</v>
      </c>
      <c r="DA16" s="45">
        <f t="shared" si="24"/>
        <v>5844</v>
      </c>
      <c r="DB16" s="45">
        <f t="shared" si="19"/>
        <v>5860</v>
      </c>
      <c r="DC16" s="45">
        <f t="shared" si="20"/>
        <v>3722</v>
      </c>
      <c r="DD16" s="45"/>
      <c r="DE16" s="45"/>
      <c r="DF16" s="45"/>
      <c r="DG16" s="45"/>
      <c r="DH16" s="45"/>
      <c r="DI16" s="45"/>
      <c r="DJ16" s="45"/>
      <c r="DK16" s="45"/>
      <c r="DL16" s="45"/>
      <c r="DM16" s="45"/>
      <c r="DN16" s="45"/>
      <c r="DO16" s="45"/>
      <c r="DP16" s="45"/>
      <c r="DQ16" s="45"/>
      <c r="DR16" s="45"/>
      <c r="DS16" s="45"/>
      <c r="DT16" s="45"/>
      <c r="DU16" s="45"/>
      <c r="DV16" s="45"/>
      <c r="DW16" s="45"/>
      <c r="DX16" s="45"/>
      <c r="DY16" s="45"/>
      <c r="DZ16" s="45"/>
      <c r="EA16" s="45"/>
      <c r="EB16" s="45"/>
      <c r="EC16" s="45"/>
      <c r="ED16" s="45"/>
      <c r="EE16" s="45"/>
      <c r="EF16" s="45"/>
      <c r="EG16" s="45"/>
      <c r="EH16" s="45"/>
      <c r="EI16" s="45"/>
      <c r="EJ16" s="45"/>
      <c r="EK16" s="45"/>
      <c r="EL16" s="45"/>
      <c r="EM16" s="45"/>
      <c r="EN16" s="45"/>
      <c r="EO16" s="45"/>
      <c r="EP16" s="45"/>
      <c r="EQ16" s="45"/>
      <c r="ER16" s="45"/>
      <c r="ES16" s="45"/>
    </row>
    <row r="17" spans="1:149" s="17" customFormat="1" ht="13" customHeight="1">
      <c r="A17" s="35"/>
      <c r="B17" s="35" t="s">
        <v>176</v>
      </c>
      <c r="C17" s="43"/>
      <c r="D17" s="43"/>
      <c r="E17" s="43"/>
      <c r="F17" s="43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Q17" s="17">
        <v>141</v>
      </c>
      <c r="AR17" s="43">
        <f>4936-AR14</f>
        <v>137</v>
      </c>
      <c r="AS17" s="43">
        <f>4609-AS14</f>
        <v>164</v>
      </c>
      <c r="AT17" s="43">
        <v>199</v>
      </c>
      <c r="AU17" s="43">
        <v>212</v>
      </c>
      <c r="AV17" s="43">
        <v>257</v>
      </c>
      <c r="AW17" s="43">
        <v>278</v>
      </c>
      <c r="AX17" s="43">
        <v>246</v>
      </c>
      <c r="AY17" s="43">
        <v>337</v>
      </c>
      <c r="AZ17" s="43">
        <v>334</v>
      </c>
      <c r="BA17" s="43">
        <v>296</v>
      </c>
      <c r="BB17" s="43">
        <v>324</v>
      </c>
      <c r="BC17" s="43">
        <v>420</v>
      </c>
      <c r="BD17" s="43">
        <v>421</v>
      </c>
      <c r="BE17" s="43">
        <v>446</v>
      </c>
      <c r="BF17" s="43">
        <v>424</v>
      </c>
      <c r="BG17" s="43">
        <v>637</v>
      </c>
      <c r="BH17" s="43">
        <v>715</v>
      </c>
      <c r="BI17" s="43">
        <v>807</v>
      </c>
      <c r="BJ17" s="43">
        <v>730</v>
      </c>
      <c r="BK17" s="43">
        <v>971</v>
      </c>
      <c r="BL17" s="43">
        <v>986</v>
      </c>
      <c r="BM17" s="43">
        <v>864</v>
      </c>
      <c r="BN17" s="43">
        <v>909</v>
      </c>
      <c r="BO17" s="43">
        <v>1267</v>
      </c>
      <c r="BP17" s="43">
        <v>1163</v>
      </c>
      <c r="BQ17" s="43">
        <v>1153</v>
      </c>
      <c r="BR17" s="43">
        <v>1346</v>
      </c>
      <c r="BS17" s="43">
        <v>1432</v>
      </c>
      <c r="BT17" s="43">
        <v>1363</v>
      </c>
      <c r="BU17" s="43">
        <v>1289</v>
      </c>
      <c r="BV17" s="43"/>
      <c r="BW17" s="43"/>
      <c r="BX17" s="43"/>
      <c r="BY17" s="43"/>
      <c r="BZ17" s="43"/>
      <c r="CA17" s="44"/>
      <c r="CB17" s="43"/>
      <c r="CC17" s="43"/>
      <c r="CD17" s="43"/>
      <c r="CE17" s="43"/>
      <c r="CF17" s="43"/>
      <c r="CG17" s="43"/>
      <c r="CH17" s="43"/>
      <c r="CI17" s="43"/>
      <c r="CJ17" s="43"/>
      <c r="CK17" s="43"/>
      <c r="CL17" s="43"/>
      <c r="CM17" s="43"/>
      <c r="CN17" s="43"/>
      <c r="CO17" s="43"/>
      <c r="CP17" s="43"/>
      <c r="CQ17" s="43"/>
      <c r="CR17" s="43"/>
      <c r="CS17" s="43"/>
      <c r="CT17" s="45"/>
      <c r="CU17" s="45"/>
      <c r="CV17" s="45"/>
      <c r="CW17" s="45"/>
      <c r="CX17" s="45">
        <f t="shared" si="21"/>
        <v>1291</v>
      </c>
      <c r="CY17" s="45">
        <f t="shared" si="22"/>
        <v>1711</v>
      </c>
      <c r="CZ17" s="45">
        <f t="shared" si="23"/>
        <v>2889</v>
      </c>
      <c r="DA17" s="45">
        <f t="shared" si="24"/>
        <v>3730</v>
      </c>
      <c r="DB17" s="45">
        <f t="shared" si="19"/>
        <v>4929</v>
      </c>
      <c r="DC17" s="45">
        <f t="shared" si="20"/>
        <v>4084</v>
      </c>
      <c r="DD17" s="45"/>
      <c r="DE17" s="45"/>
      <c r="DF17" s="45"/>
      <c r="DG17" s="45"/>
      <c r="DH17" s="45"/>
      <c r="DI17" s="45"/>
      <c r="DJ17" s="45"/>
      <c r="DK17" s="45"/>
      <c r="DL17" s="45"/>
      <c r="DM17" s="45"/>
      <c r="DN17" s="45"/>
      <c r="DO17" s="45"/>
      <c r="DP17" s="45"/>
      <c r="DQ17" s="45"/>
      <c r="DR17" s="45"/>
      <c r="DS17" s="45"/>
      <c r="DT17" s="45"/>
      <c r="DU17" s="45"/>
      <c r="DV17" s="45"/>
      <c r="DW17" s="45"/>
      <c r="DX17" s="45"/>
      <c r="DY17" s="45"/>
      <c r="DZ17" s="45"/>
      <c r="EA17" s="45"/>
      <c r="EB17" s="45"/>
      <c r="EC17" s="45"/>
      <c r="ED17" s="45"/>
      <c r="EE17" s="45"/>
      <c r="EF17" s="45"/>
      <c r="EG17" s="45"/>
      <c r="EH17" s="45"/>
      <c r="EI17" s="45"/>
      <c r="EJ17" s="45"/>
      <c r="EK17" s="45"/>
      <c r="EL17" s="45"/>
      <c r="EM17" s="45"/>
      <c r="EN17" s="45"/>
      <c r="EO17" s="45"/>
      <c r="EP17" s="45"/>
      <c r="EQ17" s="45"/>
      <c r="ER17" s="45"/>
      <c r="ES17" s="45"/>
    </row>
    <row r="18" spans="1:149" s="17" customFormat="1" ht="13" customHeight="1">
      <c r="A18" s="35"/>
      <c r="B18" s="35" t="s">
        <v>424</v>
      </c>
      <c r="C18" s="43"/>
      <c r="D18" s="43"/>
      <c r="E18" s="43"/>
      <c r="F18" s="43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>
        <v>2</v>
      </c>
      <c r="BQ18" s="43">
        <v>7</v>
      </c>
      <c r="BR18" s="43">
        <v>10</v>
      </c>
      <c r="BS18" s="43">
        <v>59</v>
      </c>
      <c r="BT18" s="43">
        <v>60</v>
      </c>
      <c r="BU18" s="43">
        <v>142</v>
      </c>
      <c r="BV18" s="43"/>
      <c r="BW18" s="43"/>
      <c r="BX18" s="43"/>
      <c r="BY18" s="43"/>
      <c r="BZ18" s="43"/>
      <c r="CA18" s="44"/>
      <c r="CB18" s="43"/>
      <c r="CC18" s="43"/>
      <c r="CD18" s="43"/>
      <c r="CE18" s="43"/>
      <c r="CF18" s="43"/>
      <c r="CG18" s="43"/>
      <c r="CH18" s="43"/>
      <c r="CI18" s="43"/>
      <c r="CJ18" s="43"/>
      <c r="CK18" s="43"/>
      <c r="CL18" s="43"/>
      <c r="CM18" s="43"/>
      <c r="CN18" s="43"/>
      <c r="CO18" s="43"/>
      <c r="CP18" s="43"/>
      <c r="CQ18" s="43"/>
      <c r="CR18" s="43"/>
      <c r="CS18" s="43"/>
      <c r="CT18" s="45"/>
      <c r="CU18" s="45"/>
      <c r="CV18" s="45"/>
      <c r="CW18" s="45"/>
      <c r="CX18" s="45"/>
      <c r="CY18" s="45"/>
      <c r="CZ18" s="45"/>
      <c r="DA18" s="45"/>
      <c r="DB18" s="45"/>
      <c r="DC18" s="45">
        <f t="shared" si="20"/>
        <v>261</v>
      </c>
      <c r="DD18" s="45"/>
      <c r="DE18" s="45"/>
      <c r="DF18" s="45"/>
      <c r="DG18" s="45"/>
      <c r="DH18" s="45"/>
      <c r="DI18" s="45"/>
      <c r="DJ18" s="45"/>
      <c r="DK18" s="45"/>
      <c r="DL18" s="45"/>
      <c r="DM18" s="45"/>
      <c r="DN18" s="45"/>
      <c r="DO18" s="45"/>
      <c r="DP18" s="45"/>
      <c r="DQ18" s="45"/>
      <c r="DR18" s="45"/>
      <c r="DS18" s="45"/>
      <c r="DT18" s="45"/>
      <c r="DU18" s="45"/>
      <c r="DV18" s="45"/>
      <c r="DW18" s="45"/>
      <c r="DX18" s="45"/>
      <c r="DY18" s="45"/>
      <c r="DZ18" s="45"/>
      <c r="EA18" s="45"/>
      <c r="EB18" s="45"/>
      <c r="EC18" s="45"/>
      <c r="ED18" s="45"/>
      <c r="EE18" s="45"/>
      <c r="EF18" s="45"/>
      <c r="EG18" s="45"/>
      <c r="EH18" s="45"/>
      <c r="EI18" s="45"/>
      <c r="EJ18" s="45"/>
      <c r="EK18" s="45"/>
      <c r="EL18" s="45"/>
      <c r="EM18" s="45"/>
      <c r="EN18" s="45"/>
      <c r="EO18" s="45"/>
      <c r="EP18" s="45"/>
      <c r="EQ18" s="45"/>
      <c r="ER18" s="45"/>
      <c r="ES18" s="45"/>
    </row>
    <row r="19" spans="1:149" s="17" customFormat="1" ht="13" customHeight="1">
      <c r="A19" s="35"/>
      <c r="B19" s="35" t="s">
        <v>124</v>
      </c>
      <c r="C19" s="43"/>
      <c r="D19" s="43"/>
      <c r="E19" s="43"/>
      <c r="F19" s="43"/>
      <c r="G19" s="43"/>
      <c r="H19" s="43"/>
      <c r="I19" s="43"/>
      <c r="J19" s="43"/>
      <c r="K19" s="43"/>
      <c r="L19" s="43"/>
      <c r="M19" s="43"/>
      <c r="N19" s="43"/>
      <c r="O19" s="43"/>
      <c r="P19" s="43"/>
      <c r="Q19" s="43"/>
      <c r="R19" s="43"/>
      <c r="S19" s="43"/>
      <c r="T19" s="43"/>
      <c r="U19" s="43"/>
      <c r="V19" s="43"/>
      <c r="W19" s="43">
        <v>9</v>
      </c>
      <c r="X19" s="43">
        <v>24</v>
      </c>
      <c r="Y19" s="43">
        <v>42</v>
      </c>
      <c r="Z19" s="43">
        <v>68</v>
      </c>
      <c r="AA19" s="43">
        <v>80</v>
      </c>
      <c r="AB19" s="43">
        <v>141</v>
      </c>
      <c r="AC19" s="43"/>
      <c r="AD19" s="43"/>
      <c r="AE19" s="43">
        <v>271</v>
      </c>
      <c r="AF19" s="43">
        <v>330</v>
      </c>
      <c r="AG19" s="43">
        <v>376</v>
      </c>
      <c r="AH19" s="43">
        <v>461</v>
      </c>
      <c r="AI19" s="43">
        <v>626</v>
      </c>
      <c r="AJ19" s="43">
        <v>983</v>
      </c>
      <c r="AK19" s="43">
        <v>1143</v>
      </c>
      <c r="AL19" s="43">
        <v>1707</v>
      </c>
      <c r="AM19" s="43"/>
      <c r="AN19" s="43"/>
      <c r="AO19" s="43"/>
      <c r="AP19" s="43"/>
      <c r="AQ19" s="43">
        <v>1755</v>
      </c>
      <c r="AR19" s="43">
        <v>1952</v>
      </c>
      <c r="AS19" s="43">
        <v>2156</v>
      </c>
      <c r="AT19" s="43">
        <v>2172</v>
      </c>
      <c r="AU19" s="43">
        <v>2147</v>
      </c>
      <c r="AV19" s="43">
        <v>2495</v>
      </c>
      <c r="AW19" s="43">
        <v>2306</v>
      </c>
      <c r="AX19" s="43">
        <v>2311</v>
      </c>
      <c r="AY19" s="43">
        <v>2460</v>
      </c>
      <c r="AZ19" s="43">
        <v>2158</v>
      </c>
      <c r="BA19" s="43">
        <v>2102</v>
      </c>
      <c r="BB19" s="43">
        <v>2248</v>
      </c>
      <c r="BC19" s="43">
        <v>2365</v>
      </c>
      <c r="BD19" s="43">
        <v>2192</v>
      </c>
      <c r="BE19" s="43">
        <v>2441</v>
      </c>
      <c r="BF19" s="43">
        <v>2731</v>
      </c>
      <c r="BG19" s="43">
        <v>2564</v>
      </c>
      <c r="BH19" s="43">
        <v>2269</v>
      </c>
      <c r="BI19" s="43">
        <v>2273</v>
      </c>
      <c r="BJ19" s="43">
        <v>2247</v>
      </c>
      <c r="BK19" s="43">
        <v>2179</v>
      </c>
      <c r="BL19" s="43">
        <v>1747</v>
      </c>
      <c r="BM19" s="43">
        <v>1910</v>
      </c>
      <c r="BN19" s="43">
        <v>1916</v>
      </c>
      <c r="BO19" s="43">
        <v>2763</v>
      </c>
      <c r="BP19" s="43">
        <v>2297</v>
      </c>
      <c r="BQ19" s="43">
        <v>2110</v>
      </c>
      <c r="BR19" s="43">
        <v>2735</v>
      </c>
      <c r="BS19" s="43">
        <v>3577</v>
      </c>
      <c r="BT19" s="43">
        <v>2800</v>
      </c>
      <c r="BU19" s="43">
        <v>2624</v>
      </c>
      <c r="BV19" s="43"/>
      <c r="BW19" s="43"/>
      <c r="BX19" s="43"/>
      <c r="BY19" s="43"/>
      <c r="BZ19" s="43"/>
      <c r="CA19" s="44"/>
      <c r="CB19" s="43"/>
      <c r="CC19" s="43"/>
      <c r="CD19" s="43"/>
      <c r="CE19" s="43"/>
      <c r="CF19" s="43"/>
      <c r="CG19" s="43"/>
      <c r="CH19" s="43"/>
      <c r="CI19" s="43"/>
      <c r="CJ19" s="43"/>
      <c r="CK19" s="43"/>
      <c r="CL19" s="43"/>
      <c r="CM19" s="43"/>
      <c r="CN19" s="43"/>
      <c r="CO19" s="43"/>
      <c r="CP19" s="43"/>
      <c r="CQ19" s="43"/>
      <c r="CR19" s="43"/>
      <c r="CS19" s="43"/>
      <c r="CT19" s="45"/>
      <c r="CU19" s="45"/>
      <c r="CV19" s="45"/>
      <c r="CW19" s="45"/>
      <c r="CX19" s="45">
        <f t="shared" si="21"/>
        <v>8968</v>
      </c>
      <c r="CY19" s="45">
        <f t="shared" si="22"/>
        <v>9729</v>
      </c>
      <c r="CZ19" s="45">
        <f t="shared" si="23"/>
        <v>9353</v>
      </c>
      <c r="DA19" s="45">
        <f t="shared" si="24"/>
        <v>7752</v>
      </c>
      <c r="DB19" s="45">
        <f t="shared" si="19"/>
        <v>9905</v>
      </c>
      <c r="DC19" s="45">
        <f t="shared" si="20"/>
        <v>9001</v>
      </c>
      <c r="DD19" s="45"/>
      <c r="DE19" s="45"/>
      <c r="DF19" s="45"/>
      <c r="DG19" s="45"/>
      <c r="DH19" s="45"/>
      <c r="DI19" s="45"/>
      <c r="DJ19" s="45"/>
      <c r="DK19" s="45"/>
      <c r="DL19" s="45"/>
      <c r="DM19" s="45"/>
      <c r="DN19" s="45"/>
      <c r="DO19" s="45"/>
      <c r="DP19" s="45"/>
      <c r="DQ19" s="45"/>
      <c r="DR19" s="45"/>
      <c r="DS19" s="45"/>
      <c r="DT19" s="45"/>
      <c r="DU19" s="45"/>
      <c r="DV19" s="45"/>
      <c r="DW19" s="45"/>
      <c r="DX19" s="45"/>
      <c r="DY19" s="45"/>
      <c r="DZ19" s="45"/>
      <c r="EA19" s="45"/>
      <c r="EB19" s="45"/>
      <c r="EC19" s="45"/>
      <c r="ED19" s="45"/>
      <c r="EE19" s="45"/>
      <c r="EF19" s="45"/>
      <c r="EG19" s="45"/>
      <c r="EH19" s="45"/>
      <c r="EI19" s="45"/>
      <c r="EJ19" s="45"/>
      <c r="EK19" s="45"/>
      <c r="EL19" s="45"/>
      <c r="EM19" s="45"/>
      <c r="EN19" s="45"/>
      <c r="EO19" s="45"/>
      <c r="EP19" s="45"/>
      <c r="EQ19" s="45"/>
      <c r="ER19" s="45"/>
      <c r="ES19" s="45"/>
    </row>
    <row r="20" spans="1:149" s="17" customFormat="1" ht="13" customHeight="1">
      <c r="A20" s="35"/>
      <c r="B20" s="35" t="s">
        <v>125</v>
      </c>
      <c r="C20" s="43"/>
      <c r="D20" s="43"/>
      <c r="E20" s="43"/>
      <c r="F20" s="43"/>
      <c r="G20" s="43"/>
      <c r="H20" s="43"/>
      <c r="I20" s="43"/>
      <c r="J20" s="43"/>
      <c r="K20" s="43">
        <v>1517</v>
      </c>
      <c r="L20" s="43">
        <f>3277-K20</f>
        <v>1760</v>
      </c>
      <c r="M20" s="43">
        <f>5067-L20-K20</f>
        <v>1790</v>
      </c>
      <c r="N20" s="43">
        <f>6880-M20-L20-K20</f>
        <v>1813</v>
      </c>
      <c r="O20" s="43">
        <v>1775</v>
      </c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>
        <v>3118</v>
      </c>
      <c r="AB20" s="43">
        <f>6736-AA20</f>
        <v>3618</v>
      </c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>
        <v>2780</v>
      </c>
      <c r="AR20" s="43">
        <v>3023</v>
      </c>
      <c r="AS20" s="43">
        <v>2560</v>
      </c>
      <c r="AT20" s="43">
        <v>2832</v>
      </c>
      <c r="AU20" s="43">
        <v>2620</v>
      </c>
      <c r="AV20" s="43">
        <v>2342</v>
      </c>
      <c r="AW20" s="43">
        <v>2138</v>
      </c>
      <c r="AX20" s="43">
        <v>2207</v>
      </c>
      <c r="AY20" s="43">
        <v>2036</v>
      </c>
      <c r="AZ20" s="43">
        <v>1486</v>
      </c>
      <c r="BA20" s="43">
        <v>1342</v>
      </c>
      <c r="BB20" s="43">
        <v>2163</v>
      </c>
      <c r="BC20" s="43">
        <v>1776</v>
      </c>
      <c r="BD20" s="43">
        <v>1312</v>
      </c>
      <c r="BE20" s="43">
        <v>1317</v>
      </c>
      <c r="BF20" s="43">
        <v>1273</v>
      </c>
      <c r="BG20" s="43">
        <v>1515</v>
      </c>
      <c r="BH20" s="43">
        <v>1144</v>
      </c>
      <c r="BI20" s="43">
        <v>961</v>
      </c>
      <c r="BJ20" s="43">
        <v>959</v>
      </c>
      <c r="BK20" s="43">
        <v>1173</v>
      </c>
      <c r="BL20" s="43">
        <v>753</v>
      </c>
      <c r="BM20" s="43">
        <v>984</v>
      </c>
      <c r="BN20" s="43">
        <v>1024</v>
      </c>
      <c r="BO20" s="43">
        <v>1279</v>
      </c>
      <c r="BP20" s="43">
        <v>1371</v>
      </c>
      <c r="BQ20" s="43">
        <v>879</v>
      </c>
      <c r="BR20" s="43">
        <v>1139</v>
      </c>
      <c r="BS20" s="43">
        <v>543</v>
      </c>
      <c r="BT20" s="43">
        <v>475</v>
      </c>
      <c r="BU20" s="43">
        <v>314</v>
      </c>
      <c r="BV20" s="43"/>
      <c r="BW20" s="43"/>
      <c r="BX20" s="43"/>
      <c r="BY20" s="43"/>
      <c r="BZ20" s="43"/>
      <c r="CA20" s="44"/>
      <c r="CB20" s="43"/>
      <c r="CC20" s="43"/>
      <c r="CD20" s="43"/>
      <c r="CE20" s="43"/>
      <c r="CF20" s="43"/>
      <c r="CG20" s="43"/>
      <c r="CH20" s="43"/>
      <c r="CI20" s="43"/>
      <c r="CJ20" s="43"/>
      <c r="CK20" s="43"/>
      <c r="CL20" s="43"/>
      <c r="CM20" s="43"/>
      <c r="CN20" s="43"/>
      <c r="CO20" s="43"/>
      <c r="CP20" s="43"/>
      <c r="CQ20" s="43"/>
      <c r="CR20" s="43"/>
      <c r="CS20" s="43"/>
      <c r="CT20" s="45"/>
      <c r="CU20" s="45"/>
      <c r="CV20" s="45"/>
      <c r="CW20" s="45"/>
      <c r="CX20" s="45">
        <f t="shared" si="21"/>
        <v>7027</v>
      </c>
      <c r="CY20" s="45">
        <f t="shared" si="22"/>
        <v>5678</v>
      </c>
      <c r="CZ20" s="45">
        <f t="shared" si="23"/>
        <v>4579</v>
      </c>
      <c r="DA20" s="45">
        <f t="shared" si="24"/>
        <v>3934</v>
      </c>
      <c r="DB20" s="45">
        <f t="shared" si="19"/>
        <v>4668</v>
      </c>
      <c r="DC20" s="45">
        <f t="shared" si="20"/>
        <v>1332</v>
      </c>
      <c r="DD20" s="45"/>
      <c r="DE20" s="45"/>
      <c r="DF20" s="45"/>
      <c r="DG20" s="45"/>
      <c r="DH20" s="45"/>
      <c r="DI20" s="45"/>
      <c r="DJ20" s="45"/>
      <c r="DK20" s="45"/>
      <c r="DL20" s="45"/>
      <c r="DM20" s="45"/>
      <c r="DN20" s="45"/>
      <c r="DO20" s="45"/>
      <c r="DP20" s="45"/>
      <c r="DQ20" s="45"/>
      <c r="DR20" s="45"/>
      <c r="DS20" s="45"/>
      <c r="DT20" s="45"/>
      <c r="DU20" s="45"/>
      <c r="DV20" s="45"/>
      <c r="DW20" s="45"/>
      <c r="DX20" s="45"/>
      <c r="DY20" s="45"/>
      <c r="DZ20" s="45"/>
      <c r="EA20" s="45"/>
      <c r="EB20" s="45"/>
      <c r="EC20" s="45"/>
      <c r="ED20" s="45"/>
      <c r="EE20" s="45"/>
      <c r="EF20" s="45"/>
      <c r="EG20" s="45"/>
      <c r="EH20" s="45"/>
      <c r="EI20" s="45"/>
      <c r="EJ20" s="45"/>
      <c r="EK20" s="45"/>
      <c r="EL20" s="45"/>
      <c r="EM20" s="45"/>
      <c r="EN20" s="45"/>
      <c r="EO20" s="45"/>
      <c r="EP20" s="45"/>
      <c r="EQ20" s="45"/>
      <c r="ER20" s="45"/>
      <c r="ES20" s="45"/>
    </row>
    <row r="21" spans="1:149" s="17" customFormat="1" ht="13" customHeight="1">
      <c r="A21" s="35"/>
      <c r="B21" s="35" t="s">
        <v>174</v>
      </c>
      <c r="C21" s="43"/>
      <c r="D21" s="43"/>
      <c r="E21" s="43"/>
      <c r="F21" s="43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Q21" s="17">
        <v>338</v>
      </c>
      <c r="AR21" s="43">
        <f>5357-AR19-AR20</f>
        <v>382</v>
      </c>
      <c r="AS21" s="43">
        <f>5158-AS19-AS20</f>
        <v>442</v>
      </c>
      <c r="AT21" s="43">
        <v>452</v>
      </c>
      <c r="AU21" s="43">
        <v>477</v>
      </c>
      <c r="AV21" s="43">
        <v>574</v>
      </c>
      <c r="AW21" s="43">
        <v>575</v>
      </c>
      <c r="AX21" s="43">
        <v>584</v>
      </c>
      <c r="AY21" s="43">
        <v>662</v>
      </c>
      <c r="AZ21" s="43">
        <v>576</v>
      </c>
      <c r="BA21" s="43">
        <v>604</v>
      </c>
      <c r="BB21" s="43">
        <v>602</v>
      </c>
      <c r="BC21" s="43">
        <v>681</v>
      </c>
      <c r="BD21" s="43">
        <v>645</v>
      </c>
      <c r="BE21" s="43">
        <v>658</v>
      </c>
      <c r="BF21" s="43">
        <v>673</v>
      </c>
      <c r="BG21" s="43">
        <v>717</v>
      </c>
      <c r="BH21" s="43">
        <v>691</v>
      </c>
      <c r="BI21" s="43">
        <v>705</v>
      </c>
      <c r="BJ21" s="43">
        <v>696</v>
      </c>
      <c r="BK21" s="43">
        <v>781</v>
      </c>
      <c r="BL21" s="43">
        <v>854</v>
      </c>
      <c r="BM21" s="43">
        <v>798</v>
      </c>
      <c r="BN21" s="43">
        <v>786</v>
      </c>
      <c r="BO21" s="43">
        <v>1123</v>
      </c>
      <c r="BP21" s="43">
        <v>1067</v>
      </c>
      <c r="BQ21" s="43">
        <v>1039</v>
      </c>
      <c r="BR21" s="43">
        <v>1274</v>
      </c>
      <c r="BS21" s="43">
        <v>1209</v>
      </c>
      <c r="BT21" s="43">
        <v>1132</v>
      </c>
      <c r="BU21" s="43">
        <v>1120</v>
      </c>
      <c r="BV21" s="43"/>
      <c r="BW21" s="43"/>
      <c r="BX21" s="43"/>
      <c r="BY21" s="43"/>
      <c r="BZ21" s="43"/>
      <c r="CA21" s="44"/>
      <c r="CB21" s="43"/>
      <c r="CC21" s="43"/>
      <c r="CD21" s="43"/>
      <c r="CE21" s="43"/>
      <c r="CF21" s="43"/>
      <c r="CG21" s="43"/>
      <c r="CH21" s="43"/>
      <c r="CI21" s="43"/>
      <c r="CJ21" s="43"/>
      <c r="CK21" s="43"/>
      <c r="CL21" s="43"/>
      <c r="CM21" s="43"/>
      <c r="CN21" s="43"/>
      <c r="CO21" s="43"/>
      <c r="CP21" s="43"/>
      <c r="CQ21" s="43"/>
      <c r="CR21" s="43"/>
      <c r="CS21" s="43"/>
      <c r="CT21" s="45"/>
      <c r="CU21" s="45"/>
      <c r="CV21" s="45"/>
      <c r="CW21" s="45"/>
      <c r="CX21" s="45">
        <f t="shared" si="21"/>
        <v>2444</v>
      </c>
      <c r="CY21" s="45">
        <f t="shared" si="22"/>
        <v>2657</v>
      </c>
      <c r="CZ21" s="45">
        <f t="shared" si="23"/>
        <v>2809</v>
      </c>
      <c r="DA21" s="45">
        <f t="shared" si="24"/>
        <v>3219</v>
      </c>
      <c r="DB21" s="45">
        <f t="shared" si="19"/>
        <v>4503</v>
      </c>
      <c r="DC21" s="45">
        <f t="shared" si="20"/>
        <v>3461</v>
      </c>
      <c r="DD21" s="45"/>
      <c r="DE21" s="45"/>
      <c r="DF21" s="45"/>
      <c r="DG21" s="45"/>
      <c r="DH21" s="45"/>
      <c r="DI21" s="45"/>
      <c r="DJ21" s="45"/>
      <c r="DK21" s="45"/>
      <c r="DL21" s="45"/>
      <c r="DM21" s="45"/>
      <c r="DN21" s="45"/>
      <c r="DO21" s="45"/>
      <c r="DP21" s="45"/>
      <c r="DQ21" s="45"/>
      <c r="DR21" s="45"/>
      <c r="DS21" s="45"/>
      <c r="DT21" s="45"/>
      <c r="DU21" s="45"/>
      <c r="DV21" s="45"/>
      <c r="DW21" s="45"/>
      <c r="DX21" s="45"/>
      <c r="DY21" s="45"/>
      <c r="DZ21" s="45"/>
      <c r="EA21" s="45"/>
      <c r="EB21" s="45"/>
      <c r="EC21" s="45"/>
      <c r="ED21" s="45"/>
      <c r="EE21" s="45"/>
      <c r="EF21" s="45"/>
      <c r="EG21" s="45"/>
      <c r="EH21" s="45"/>
      <c r="EI21" s="45"/>
      <c r="EJ21" s="45"/>
      <c r="EK21" s="45"/>
      <c r="EL21" s="45"/>
      <c r="EM21" s="45"/>
      <c r="EN21" s="45"/>
      <c r="EO21" s="45"/>
      <c r="EP21" s="45"/>
      <c r="EQ21" s="45"/>
      <c r="ER21" s="45"/>
      <c r="ES21" s="45"/>
    </row>
    <row r="22" spans="1:149" s="17" customFormat="1" ht="13" customHeight="1">
      <c r="A22" s="35"/>
      <c r="B22" s="35" t="s">
        <v>126</v>
      </c>
      <c r="C22" s="44">
        <v>3821</v>
      </c>
      <c r="D22" s="44">
        <v>4103</v>
      </c>
      <c r="E22" s="44">
        <v>4365</v>
      </c>
      <c r="F22" s="44">
        <v>5028</v>
      </c>
      <c r="G22" s="43">
        <v>4990</v>
      </c>
      <c r="H22" s="43">
        <v>5414</v>
      </c>
      <c r="I22" s="43">
        <v>5353</v>
      </c>
      <c r="J22" s="43">
        <f>21471-I22-H22-G22</f>
        <v>5714</v>
      </c>
      <c r="K22" s="43">
        <f>SUM(K14:K20)</f>
        <v>5862</v>
      </c>
      <c r="L22" s="43">
        <f>SUM(L14:L20)</f>
        <v>6792</v>
      </c>
      <c r="M22" s="43">
        <f>SUM(M14:M20)</f>
        <v>6820</v>
      </c>
      <c r="N22" s="43">
        <f>SUM(N14:N20)</f>
        <v>7127</v>
      </c>
      <c r="O22" s="43">
        <f>SUM(O14:O20)</f>
        <v>6705</v>
      </c>
      <c r="P22" s="43">
        <f t="shared" ref="P22:AB22" si="25">SUM(P14:P20)</f>
        <v>0</v>
      </c>
      <c r="Q22" s="43">
        <f t="shared" si="25"/>
        <v>0</v>
      </c>
      <c r="R22" s="43">
        <f t="shared" si="25"/>
        <v>0</v>
      </c>
      <c r="S22" s="43">
        <f t="shared" si="25"/>
        <v>0</v>
      </c>
      <c r="T22" s="43">
        <f t="shared" si="25"/>
        <v>0</v>
      </c>
      <c r="U22" s="43">
        <f t="shared" si="25"/>
        <v>0</v>
      </c>
      <c r="V22" s="43">
        <f t="shared" si="25"/>
        <v>0</v>
      </c>
      <c r="W22" s="43">
        <f t="shared" si="25"/>
        <v>9</v>
      </c>
      <c r="X22" s="43">
        <f t="shared" si="25"/>
        <v>24</v>
      </c>
      <c r="Y22" s="43">
        <f t="shared" si="25"/>
        <v>42</v>
      </c>
      <c r="Z22" s="43">
        <f t="shared" si="25"/>
        <v>68</v>
      </c>
      <c r="AA22" s="43">
        <f t="shared" si="25"/>
        <v>9457</v>
      </c>
      <c r="AB22" s="43">
        <f t="shared" si="25"/>
        <v>10492</v>
      </c>
      <c r="AC22" s="45"/>
      <c r="AD22" s="43"/>
      <c r="AE22" s="43">
        <v>11498</v>
      </c>
      <c r="AF22" s="43">
        <v>12604</v>
      </c>
      <c r="AG22" s="43">
        <v>12500</v>
      </c>
      <c r="AH22" s="43">
        <v>13562</v>
      </c>
      <c r="AI22" s="43">
        <v>11715</v>
      </c>
      <c r="AJ22" s="43">
        <v>11806</v>
      </c>
      <c r="AK22" s="43">
        <v>11770</v>
      </c>
      <c r="AL22" s="43">
        <v>12219</v>
      </c>
      <c r="AM22" s="43"/>
      <c r="AN22" s="43"/>
      <c r="AO22" s="43"/>
      <c r="AP22" s="43"/>
      <c r="AQ22" s="43">
        <f>SUM(AQ14:AQ21)</f>
        <v>12293</v>
      </c>
      <c r="AR22" s="43">
        <f>SUM(AR14:AR21)</f>
        <v>12880</v>
      </c>
      <c r="AS22" s="43">
        <f>SUM(AS14:AS21)</f>
        <v>12294</v>
      </c>
      <c r="AT22" s="43">
        <f t="shared" ref="AT22:AU22" si="26">SUM(AT14:AT21)</f>
        <v>12924</v>
      </c>
      <c r="AU22" s="43">
        <f t="shared" si="26"/>
        <v>12978</v>
      </c>
      <c r="AV22" s="43">
        <f t="shared" ref="AV22:BU22" si="27">SUM(AV14:AV21)</f>
        <v>12729</v>
      </c>
      <c r="AW22" s="43">
        <f t="shared" si="27"/>
        <v>12247</v>
      </c>
      <c r="AX22" s="43">
        <f t="shared" si="27"/>
        <v>12703</v>
      </c>
      <c r="AY22" s="43">
        <f t="shared" si="27"/>
        <v>13227</v>
      </c>
      <c r="AZ22" s="43">
        <f t="shared" si="27"/>
        <v>11292</v>
      </c>
      <c r="BA22" s="43">
        <f t="shared" si="27"/>
        <v>11209</v>
      </c>
      <c r="BB22" s="43">
        <f t="shared" si="27"/>
        <v>11949</v>
      </c>
      <c r="BC22" s="43">
        <f t="shared" si="27"/>
        <v>12331</v>
      </c>
      <c r="BD22" s="43">
        <f t="shared" si="27"/>
        <v>11116</v>
      </c>
      <c r="BE22" s="43">
        <f t="shared" si="27"/>
        <v>11619</v>
      </c>
      <c r="BF22" s="43">
        <f t="shared" si="27"/>
        <v>11888</v>
      </c>
      <c r="BG22" s="43">
        <f t="shared" si="27"/>
        <v>12650</v>
      </c>
      <c r="BH22" s="43">
        <f t="shared" si="27"/>
        <v>10492</v>
      </c>
      <c r="BI22" s="43">
        <f t="shared" si="27"/>
        <v>10908</v>
      </c>
      <c r="BJ22" s="43">
        <f t="shared" si="27"/>
        <v>10716</v>
      </c>
      <c r="BK22" s="43">
        <f t="shared" si="27"/>
        <v>11397</v>
      </c>
      <c r="BL22" s="43">
        <f t="shared" si="27"/>
        <v>9321</v>
      </c>
      <c r="BM22" s="43">
        <f t="shared" si="27"/>
        <v>9719</v>
      </c>
      <c r="BN22" s="43">
        <f t="shared" si="27"/>
        <v>9991</v>
      </c>
      <c r="BO22" s="43">
        <f>SUM(BO14:BO21)</f>
        <v>12620</v>
      </c>
      <c r="BP22" s="43">
        <f t="shared" si="27"/>
        <v>11041</v>
      </c>
      <c r="BQ22" s="43">
        <f t="shared" si="27"/>
        <v>10703</v>
      </c>
      <c r="BR22" s="43">
        <f t="shared" si="27"/>
        <v>14042</v>
      </c>
      <c r="BS22" s="43">
        <f t="shared" si="27"/>
        <v>13253</v>
      </c>
      <c r="BT22" s="43">
        <f t="shared" si="27"/>
        <v>11645</v>
      </c>
      <c r="BU22" s="43">
        <f t="shared" si="27"/>
        <v>10666</v>
      </c>
      <c r="BV22" s="43">
        <f>+BR22*1.01</f>
        <v>14182.42</v>
      </c>
      <c r="BW22" s="43"/>
      <c r="BX22" s="43"/>
      <c r="BY22" s="43"/>
      <c r="BZ22" s="43"/>
      <c r="CA22" s="44"/>
      <c r="CB22" s="43"/>
      <c r="CC22" s="43"/>
      <c r="CD22" s="43"/>
      <c r="CE22" s="43"/>
      <c r="CF22" s="43"/>
      <c r="CG22" s="43"/>
      <c r="CH22" s="43"/>
      <c r="CI22" s="43"/>
      <c r="CJ22" s="43"/>
      <c r="CK22" s="43"/>
      <c r="CL22" s="43">
        <f>SUM(C22:F22)</f>
        <v>17317</v>
      </c>
      <c r="CM22" s="43">
        <f t="shared" ref="CM22:CM23" si="28">SUM(G22:J22)</f>
        <v>21471</v>
      </c>
      <c r="CN22" s="43">
        <f t="shared" ref="CN22:CN23" si="29">SUM(K22:N22)</f>
        <v>26601</v>
      </c>
      <c r="CO22" s="43">
        <v>28765</v>
      </c>
      <c r="CP22" s="43">
        <v>34821</v>
      </c>
      <c r="CQ22" s="43"/>
      <c r="CR22" s="43"/>
      <c r="CS22" s="43"/>
      <c r="CT22" s="45"/>
      <c r="CU22" s="45"/>
      <c r="CV22" s="45"/>
      <c r="CW22" s="45"/>
      <c r="CX22" s="45">
        <f>SUM(CX14:CX21)</f>
        <v>47677</v>
      </c>
      <c r="CY22" s="45">
        <f t="shared" ref="CY22:DA22" si="30">SUM(CY14:CY21)</f>
        <v>46954</v>
      </c>
      <c r="CZ22" s="45">
        <f t="shared" si="30"/>
        <v>44766</v>
      </c>
      <c r="DA22" s="45">
        <f t="shared" si="30"/>
        <v>40428</v>
      </c>
      <c r="DB22" s="45">
        <f>SUM(BO22:BR22)</f>
        <v>48406</v>
      </c>
      <c r="DC22" s="45">
        <f t="shared" si="20"/>
        <v>49746.42</v>
      </c>
      <c r="DD22" s="45"/>
      <c r="DE22" s="45"/>
      <c r="DF22" s="45"/>
      <c r="DG22" s="45"/>
      <c r="DH22" s="45"/>
      <c r="DI22" s="45"/>
      <c r="DJ22" s="45"/>
      <c r="DK22" s="45"/>
      <c r="DL22" s="45"/>
      <c r="DM22" s="45"/>
      <c r="DN22" s="45"/>
      <c r="DO22" s="45"/>
      <c r="DP22" s="45"/>
      <c r="DQ22" s="45"/>
      <c r="DR22" s="45"/>
      <c r="DS22" s="45"/>
      <c r="DT22" s="45"/>
      <c r="DU22" s="45"/>
      <c r="DV22" s="45"/>
      <c r="DW22" s="45"/>
      <c r="DX22" s="45"/>
      <c r="DY22" s="45"/>
      <c r="DZ22" s="45"/>
      <c r="EA22" s="45"/>
      <c r="EB22" s="45"/>
      <c r="EC22" s="45"/>
      <c r="ED22" s="45"/>
      <c r="EE22" s="45"/>
      <c r="EF22" s="45"/>
      <c r="EG22" s="45"/>
      <c r="EH22" s="45"/>
      <c r="EI22" s="45"/>
      <c r="EJ22" s="45"/>
      <c r="EK22" s="45"/>
      <c r="EL22" s="45"/>
      <c r="EM22" s="45"/>
      <c r="EN22" s="45"/>
      <c r="EO22" s="45"/>
      <c r="EP22" s="45"/>
      <c r="EQ22" s="45"/>
      <c r="ER22" s="45"/>
      <c r="ES22" s="45"/>
    </row>
    <row r="23" spans="1:149" ht="13" customHeight="1">
      <c r="A23" s="40"/>
      <c r="B23" s="46" t="s">
        <v>127</v>
      </c>
      <c r="C23" s="44">
        <v>2939</v>
      </c>
      <c r="D23" s="44">
        <v>2966</v>
      </c>
      <c r="E23" s="44">
        <v>2806</v>
      </c>
      <c r="F23" s="44">
        <v>3093</v>
      </c>
      <c r="G23" s="43">
        <v>3004</v>
      </c>
      <c r="H23" s="43">
        <v>2879</v>
      </c>
      <c r="I23" s="43">
        <v>2747</v>
      </c>
      <c r="J23" s="43">
        <f>11315-I23-H23-G23</f>
        <v>2685</v>
      </c>
      <c r="K23" s="43">
        <v>2773</v>
      </c>
      <c r="L23" s="43">
        <v>3099</v>
      </c>
      <c r="M23" s="43">
        <v>2963</v>
      </c>
      <c r="N23" s="43">
        <v>2992</v>
      </c>
      <c r="O23" s="43">
        <v>2655</v>
      </c>
      <c r="P23" s="43"/>
      <c r="Q23" s="43"/>
      <c r="R23" s="43"/>
      <c r="S23" s="43"/>
      <c r="T23" s="43"/>
      <c r="U23" s="43"/>
      <c r="V23" s="43"/>
      <c r="W23" s="43">
        <v>2824</v>
      </c>
      <c r="X23" s="43">
        <v>2779</v>
      </c>
      <c r="Y23" s="43">
        <v>2572</v>
      </c>
      <c r="Z23" s="43">
        <v>2694</v>
      </c>
      <c r="AA23" s="43">
        <v>2573</v>
      </c>
      <c r="AB23" s="43">
        <f>5048-AA23</f>
        <v>2475</v>
      </c>
      <c r="AC23" s="43"/>
      <c r="AD23" s="43"/>
      <c r="AE23" s="43">
        <v>2897</v>
      </c>
      <c r="AF23" s="43">
        <v>2784</v>
      </c>
      <c r="AG23" s="43">
        <v>2772</v>
      </c>
      <c r="AH23" s="43">
        <v>2778</v>
      </c>
      <c r="AI23" s="43">
        <v>2725</v>
      </c>
      <c r="AJ23" s="43">
        <v>2667</v>
      </c>
      <c r="AK23" s="43">
        <v>2760</v>
      </c>
      <c r="AL23" s="43">
        <v>2938</v>
      </c>
      <c r="AM23" s="43"/>
      <c r="AN23" s="43"/>
      <c r="AO23" s="43"/>
      <c r="AP23" s="43"/>
      <c r="AQ23" s="43">
        <v>2366</v>
      </c>
      <c r="AR23" s="43">
        <v>2335</v>
      </c>
      <c r="AS23" s="43">
        <v>2386</v>
      </c>
      <c r="AT23" s="43">
        <v>2178</v>
      </c>
      <c r="AU23" s="43">
        <v>2415</v>
      </c>
      <c r="AV23" s="43">
        <v>2180</v>
      </c>
      <c r="AW23" s="43">
        <v>2237</v>
      </c>
      <c r="AX23" s="43">
        <v>2204</v>
      </c>
      <c r="AY23" s="43">
        <v>2687</v>
      </c>
      <c r="AZ23" s="43">
        <v>2314</v>
      </c>
      <c r="BA23" s="43">
        <v>2194</v>
      </c>
      <c r="BB23" s="43">
        <v>1678</v>
      </c>
      <c r="BC23" s="43">
        <v>2535</v>
      </c>
      <c r="BD23" s="43">
        <v>2041</v>
      </c>
      <c r="BE23" s="43">
        <v>2391</v>
      </c>
      <c r="BF23" s="43">
        <v>2085</v>
      </c>
      <c r="BG23" s="43">
        <v>2312</v>
      </c>
      <c r="BH23" s="43">
        <v>1851</v>
      </c>
      <c r="BI23" s="43">
        <v>2053</v>
      </c>
      <c r="BJ23" s="43">
        <v>1970</v>
      </c>
      <c r="BK23" s="43">
        <v>2012</v>
      </c>
      <c r="BL23" s="43">
        <v>1967</v>
      </c>
      <c r="BM23" s="43">
        <v>1626</v>
      </c>
      <c r="BN23" s="43">
        <v>1989</v>
      </c>
      <c r="BO23" s="43">
        <v>1745</v>
      </c>
      <c r="BP23" s="43">
        <v>1571</v>
      </c>
      <c r="BQ23" s="43">
        <v>1806</v>
      </c>
      <c r="BR23" s="43">
        <v>1845</v>
      </c>
      <c r="BS23" s="43">
        <v>1744</v>
      </c>
      <c r="BT23" s="43">
        <v>1101</v>
      </c>
      <c r="BU23" s="43">
        <v>1327</v>
      </c>
      <c r="BV23" s="43"/>
      <c r="BW23" s="43"/>
      <c r="BX23" s="43"/>
      <c r="BY23" s="43"/>
      <c r="BZ23" s="43"/>
      <c r="CA23" s="42"/>
      <c r="CB23" s="41"/>
      <c r="CC23" s="41"/>
      <c r="CD23" s="41"/>
      <c r="CE23" s="41"/>
      <c r="CF23" s="41"/>
      <c r="CG23" s="41"/>
      <c r="CH23" s="41"/>
      <c r="CI23" s="41"/>
      <c r="CJ23" s="41"/>
      <c r="CK23" s="41"/>
      <c r="CL23" s="43">
        <f t="shared" ref="CL23:CL43" si="31">SUM(C23:F23)</f>
        <v>11804</v>
      </c>
      <c r="CM23" s="43">
        <f t="shared" si="28"/>
        <v>11315</v>
      </c>
      <c r="CN23" s="43">
        <f t="shared" si="29"/>
        <v>11827</v>
      </c>
      <c r="CO23" s="43">
        <v>10785</v>
      </c>
      <c r="CP23" s="43">
        <v>11302</v>
      </c>
      <c r="CQ23" s="41"/>
      <c r="CR23" s="41"/>
      <c r="CS23" s="41"/>
      <c r="CT23" s="39"/>
      <c r="CU23" s="45"/>
      <c r="CV23" s="45"/>
      <c r="CW23" s="45"/>
      <c r="CX23" s="45">
        <f t="shared" ref="CX23" si="32">SUM(AY23:BB23)</f>
        <v>8873</v>
      </c>
      <c r="CY23" s="45">
        <f t="shared" ref="CY23" si="33">SUM(BC23:BF23)</f>
        <v>9052</v>
      </c>
      <c r="CZ23" s="45">
        <f t="shared" ref="CZ23" si="34">SUM(BG23:BJ23)</f>
        <v>8186</v>
      </c>
      <c r="DA23" s="45">
        <f t="shared" ref="DA23" si="35">SUM(BK23:BN23)</f>
        <v>7594</v>
      </c>
      <c r="DB23" s="45">
        <f>SUM(BO23:BR23)</f>
        <v>6967</v>
      </c>
      <c r="DC23" s="45">
        <f t="shared" si="20"/>
        <v>4172</v>
      </c>
      <c r="DD23" s="45"/>
      <c r="DE23" s="45"/>
      <c r="DF23" s="45"/>
      <c r="DG23" s="45"/>
      <c r="DH23" s="45"/>
      <c r="DI23" s="39"/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  <c r="EP23" s="39"/>
      <c r="EQ23" s="39"/>
      <c r="ER23" s="39"/>
      <c r="ES23" s="39"/>
    </row>
    <row r="24" spans="1:149" ht="13" customHeight="1">
      <c r="A24" s="40"/>
      <c r="B24" s="46" t="s">
        <v>185</v>
      </c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>
        <f t="shared" ref="AQ24" si="36">+AQ23+AQ22</f>
        <v>14659</v>
      </c>
      <c r="AR24" s="43">
        <f>+AR23+AR22</f>
        <v>15215</v>
      </c>
      <c r="AS24" s="43">
        <f t="shared" ref="AS24:AU24" si="37">+AS23+AS22</f>
        <v>14680</v>
      </c>
      <c r="AT24" s="43">
        <f t="shared" si="37"/>
        <v>15102</v>
      </c>
      <c r="AU24" s="43">
        <f t="shared" si="37"/>
        <v>15393</v>
      </c>
      <c r="AV24" s="43">
        <f t="shared" ref="AV24:BE24" si="38">+AV23+AV22</f>
        <v>14909</v>
      </c>
      <c r="AW24" s="43">
        <f t="shared" si="38"/>
        <v>14484</v>
      </c>
      <c r="AX24" s="43">
        <f t="shared" si="38"/>
        <v>14907</v>
      </c>
      <c r="AY24" s="43">
        <f t="shared" si="38"/>
        <v>15914</v>
      </c>
      <c r="AZ24" s="43">
        <f t="shared" si="38"/>
        <v>13606</v>
      </c>
      <c r="BA24" s="43">
        <f t="shared" si="38"/>
        <v>13403</v>
      </c>
      <c r="BB24" s="43">
        <f t="shared" si="38"/>
        <v>13627</v>
      </c>
      <c r="BC24" s="43">
        <f t="shared" si="38"/>
        <v>14866</v>
      </c>
      <c r="BD24" s="43">
        <f t="shared" si="38"/>
        <v>13157</v>
      </c>
      <c r="BE24" s="43">
        <f t="shared" si="38"/>
        <v>14010</v>
      </c>
      <c r="BF24" s="43">
        <f t="shared" ref="BF24:BK24" si="39">+BF23+BF22</f>
        <v>13973</v>
      </c>
      <c r="BG24" s="43">
        <f t="shared" si="39"/>
        <v>14962</v>
      </c>
      <c r="BH24" s="43">
        <f t="shared" si="39"/>
        <v>12343</v>
      </c>
      <c r="BI24" s="43">
        <f t="shared" si="39"/>
        <v>12961</v>
      </c>
      <c r="BJ24" s="43">
        <f t="shared" si="39"/>
        <v>12686</v>
      </c>
      <c r="BK24" s="43">
        <f t="shared" si="39"/>
        <v>13409</v>
      </c>
      <c r="BL24" s="43">
        <f t="shared" ref="BL24:BN24" si="40">+BL23+BL22</f>
        <v>11288</v>
      </c>
      <c r="BM24" s="43">
        <f t="shared" si="40"/>
        <v>11345</v>
      </c>
      <c r="BN24" s="43">
        <f t="shared" si="40"/>
        <v>11980</v>
      </c>
      <c r="BO24" s="43">
        <f>+BO22+BO23</f>
        <v>14365</v>
      </c>
      <c r="BP24" s="43">
        <f>+BP22+BP23</f>
        <v>12612</v>
      </c>
      <c r="BQ24" s="43">
        <f>+BQ22+BQ23</f>
        <v>12509</v>
      </c>
      <c r="BR24" s="43">
        <f>+BR22+BR23</f>
        <v>15887</v>
      </c>
      <c r="BS24" s="43">
        <f>+BS22+BS23</f>
        <v>14997</v>
      </c>
      <c r="BT24" s="43">
        <f>+BT22+BT23</f>
        <v>12746</v>
      </c>
      <c r="BU24" s="43">
        <f>+BU22+BU23</f>
        <v>11993</v>
      </c>
      <c r="BV24" s="43">
        <f>+BR24*1.01</f>
        <v>16045.87</v>
      </c>
      <c r="BW24" s="43"/>
      <c r="BX24" s="43"/>
      <c r="BY24" s="43"/>
      <c r="BZ24" s="43"/>
      <c r="CA24" s="42"/>
      <c r="CB24" s="41"/>
      <c r="CC24" s="41"/>
      <c r="CD24" s="41"/>
      <c r="CE24" s="41"/>
      <c r="CF24" s="41"/>
      <c r="CG24" s="41"/>
      <c r="CH24" s="41"/>
      <c r="CI24" s="41"/>
      <c r="CJ24" s="41"/>
      <c r="CK24" s="41"/>
      <c r="CL24" s="43"/>
      <c r="CM24" s="43"/>
      <c r="CN24" s="43"/>
      <c r="CO24" s="41"/>
      <c r="CP24" s="41"/>
      <c r="CQ24" s="41"/>
      <c r="CR24" s="41"/>
      <c r="CS24" s="41"/>
      <c r="CT24" s="39"/>
      <c r="CU24" s="45"/>
      <c r="CV24" s="45"/>
      <c r="CW24" s="45"/>
      <c r="CX24" s="45">
        <f>CX23+CX22</f>
        <v>56550</v>
      </c>
      <c r="CY24" s="45">
        <f>CY23+CY22</f>
        <v>56006</v>
      </c>
      <c r="CZ24" s="45">
        <f>CZ23+CZ22</f>
        <v>52952</v>
      </c>
      <c r="DA24" s="45">
        <f>DA23+DA22</f>
        <v>48022</v>
      </c>
      <c r="DB24" s="45">
        <f>DB23+DB22</f>
        <v>55373</v>
      </c>
      <c r="DC24" s="45">
        <f t="shared" si="20"/>
        <v>55781.87</v>
      </c>
      <c r="DD24" s="45">
        <f>+DC24*0.95</f>
        <v>52992.7765</v>
      </c>
      <c r="DE24" s="45">
        <f t="shared" ref="DE24:DM24" si="41">+DD24*0.95</f>
        <v>50343.137674999998</v>
      </c>
      <c r="DF24" s="45">
        <f t="shared" si="41"/>
        <v>47825.980791249996</v>
      </c>
      <c r="DG24" s="45">
        <f t="shared" si="41"/>
        <v>45434.681751687494</v>
      </c>
      <c r="DH24" s="45">
        <f t="shared" si="41"/>
        <v>43162.947664103114</v>
      </c>
      <c r="DI24" s="45">
        <f t="shared" si="41"/>
        <v>41004.800280897958</v>
      </c>
      <c r="DJ24" s="45">
        <f t="shared" si="41"/>
        <v>38954.560266853056</v>
      </c>
      <c r="DK24" s="45">
        <f t="shared" si="41"/>
        <v>37006.832253510402</v>
      </c>
      <c r="DL24" s="45">
        <f t="shared" si="41"/>
        <v>35156.490640834883</v>
      </c>
      <c r="DM24" s="45">
        <f t="shared" si="41"/>
        <v>33398.666108793135</v>
      </c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  <c r="EP24" s="39"/>
      <c r="EQ24" s="39"/>
      <c r="ER24" s="39"/>
      <c r="ES24" s="39"/>
    </row>
    <row r="25" spans="1:149" ht="13" customHeight="1">
      <c r="A25" s="40"/>
      <c r="B25" s="46"/>
      <c r="C25" s="44"/>
      <c r="D25" s="44"/>
      <c r="E25" s="44"/>
      <c r="F25" s="44"/>
      <c r="G25" s="43"/>
      <c r="H25" s="43"/>
      <c r="I25" s="43"/>
      <c r="J25" s="43"/>
      <c r="K25" s="43"/>
      <c r="L25" s="43"/>
      <c r="M25" s="43"/>
      <c r="N25" s="43"/>
      <c r="O25" s="43"/>
      <c r="P25" s="43"/>
      <c r="Q25" s="43"/>
      <c r="R25" s="43"/>
      <c r="S25" s="43"/>
      <c r="T25" s="43"/>
      <c r="U25" s="43"/>
      <c r="V25" s="43"/>
      <c r="W25" s="43"/>
      <c r="X25" s="43"/>
      <c r="Y25" s="43"/>
      <c r="Z25" s="43"/>
      <c r="AA25" s="43"/>
      <c r="AB25" s="43"/>
      <c r="AC25" s="43"/>
      <c r="AD25" s="43"/>
      <c r="AE25" s="43"/>
      <c r="AF25" s="43"/>
      <c r="AG25" s="43"/>
      <c r="AH25" s="43"/>
      <c r="AI25" s="43"/>
      <c r="AJ25" s="43"/>
      <c r="AK25" s="43"/>
      <c r="AL25" s="43"/>
      <c r="AM25" s="43"/>
      <c r="AN25" s="43"/>
      <c r="AO25" s="43"/>
      <c r="AP25" s="43"/>
      <c r="AQ25" s="43"/>
      <c r="AR25" s="43"/>
      <c r="AS25" s="43"/>
      <c r="AT25" s="43"/>
      <c r="AU25" s="43"/>
      <c r="AV25" s="43"/>
      <c r="AW25" s="43"/>
      <c r="AX25" s="43"/>
      <c r="AY25" s="43"/>
      <c r="AZ25" s="43"/>
      <c r="BA25" s="43"/>
      <c r="BB25" s="43"/>
      <c r="BC25" s="43"/>
      <c r="BD25" s="43"/>
      <c r="BE25" s="43"/>
      <c r="BF25" s="43"/>
      <c r="BG25" s="43"/>
      <c r="BH25" s="43"/>
      <c r="BI25" s="43"/>
      <c r="BJ25" s="43"/>
      <c r="BK25" s="43"/>
      <c r="BL25" s="43"/>
      <c r="BM25" s="43"/>
      <c r="BN25" s="43"/>
      <c r="BO25" s="43"/>
      <c r="BP25" s="43"/>
      <c r="BQ25" s="43"/>
      <c r="BR25" s="43"/>
      <c r="BS25" s="43"/>
      <c r="BT25" s="43"/>
      <c r="BU25" s="43"/>
      <c r="BV25" s="43"/>
      <c r="BW25" s="43"/>
      <c r="BX25" s="43"/>
      <c r="BY25" s="43"/>
      <c r="BZ25" s="43"/>
      <c r="CA25" s="42"/>
      <c r="CB25" s="41"/>
      <c r="CC25" s="41"/>
      <c r="CD25" s="41"/>
      <c r="CE25" s="41"/>
      <c r="CF25" s="41"/>
      <c r="CG25" s="41"/>
      <c r="CH25" s="41"/>
      <c r="CI25" s="41"/>
      <c r="CJ25" s="41"/>
      <c r="CK25" s="41"/>
      <c r="CL25" s="43"/>
      <c r="CM25" s="43"/>
      <c r="CN25" s="43"/>
      <c r="CO25" s="41"/>
      <c r="CP25" s="41"/>
      <c r="CQ25" s="41"/>
      <c r="CR25" s="41"/>
      <c r="CS25" s="41"/>
      <c r="CT25" s="39"/>
      <c r="CU25" s="45"/>
      <c r="CV25" s="45"/>
      <c r="CW25" s="45"/>
      <c r="CX25" s="45"/>
      <c r="CY25" s="45"/>
      <c r="CZ25" s="45"/>
      <c r="DA25" s="45"/>
      <c r="DB25" s="45"/>
      <c r="DC25" s="45"/>
      <c r="DD25" s="45"/>
      <c r="DE25" s="45"/>
      <c r="DF25" s="45"/>
      <c r="DG25" s="45"/>
      <c r="DH25" s="45"/>
      <c r="DI25" s="39"/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  <c r="EP25" s="39"/>
      <c r="EQ25" s="39"/>
      <c r="ER25" s="39"/>
      <c r="ES25" s="39"/>
    </row>
    <row r="26" spans="1:149" ht="13" customHeight="1">
      <c r="A26" s="40"/>
      <c r="B26" s="46" t="s">
        <v>128</v>
      </c>
      <c r="C26" s="44"/>
      <c r="D26" s="44"/>
      <c r="E26" s="44"/>
      <c r="F26" s="44"/>
      <c r="G26" s="43"/>
      <c r="H26" s="43"/>
      <c r="I26" s="43">
        <v>28</v>
      </c>
      <c r="J26" s="43">
        <v>59</v>
      </c>
      <c r="K26" s="43">
        <v>370</v>
      </c>
      <c r="L26" s="43">
        <v>296</v>
      </c>
      <c r="M26" s="43">
        <v>700</v>
      </c>
      <c r="N26" s="43">
        <v>951</v>
      </c>
      <c r="O26" s="43">
        <v>1098</v>
      </c>
      <c r="P26" s="43"/>
      <c r="Q26" s="43"/>
      <c r="R26" s="43"/>
      <c r="S26" s="43"/>
      <c r="T26" s="43"/>
      <c r="U26" s="43"/>
      <c r="V26" s="43"/>
      <c r="W26" s="43">
        <v>2678</v>
      </c>
      <c r="X26" s="43">
        <v>2877</v>
      </c>
      <c r="Y26" s="43">
        <v>2847</v>
      </c>
      <c r="Z26" s="43">
        <v>3231</v>
      </c>
      <c r="AA26" s="43">
        <v>2916</v>
      </c>
      <c r="AB26" s="43">
        <f>5975-AA26</f>
        <v>3059</v>
      </c>
      <c r="AC26" s="43"/>
      <c r="AD26" s="43"/>
      <c r="AE26" s="43">
        <v>3957</v>
      </c>
      <c r="AF26" s="43">
        <v>4486</v>
      </c>
      <c r="AG26" s="43">
        <v>4680</v>
      </c>
      <c r="AH26" s="43">
        <v>4904</v>
      </c>
      <c r="AI26" s="43">
        <v>4591</v>
      </c>
      <c r="AJ26" s="43">
        <v>4952</v>
      </c>
      <c r="AK26" s="43">
        <v>5106</v>
      </c>
      <c r="AL26" s="43">
        <v>5397</v>
      </c>
      <c r="AM26" s="43"/>
      <c r="AN26" s="43"/>
      <c r="AO26" s="43"/>
      <c r="AP26" s="43"/>
      <c r="AQ26" s="43">
        <v>5989</v>
      </c>
      <c r="AR26" s="43">
        <v>5729</v>
      </c>
      <c r="AS26" s="43">
        <v>6115</v>
      </c>
      <c r="AT26" s="43">
        <v>6500</v>
      </c>
      <c r="AU26" s="43">
        <v>5722</v>
      </c>
      <c r="AV26" s="43">
        <v>5415</v>
      </c>
      <c r="AW26" s="43">
        <v>5370</v>
      </c>
      <c r="AX26" s="43">
        <v>5427</v>
      </c>
      <c r="AY26" s="43">
        <v>4991</v>
      </c>
      <c r="AZ26" s="43">
        <v>4234</v>
      </c>
      <c r="BA26" s="43">
        <v>4765</v>
      </c>
      <c r="BB26" s="43">
        <v>4757</v>
      </c>
      <c r="BC26" s="43">
        <v>3909</v>
      </c>
      <c r="BD26" s="43">
        <v>3697</v>
      </c>
      <c r="BE26" s="43">
        <v>3615</v>
      </c>
      <c r="BF26" s="43">
        <v>3833</v>
      </c>
      <c r="BG26" s="43">
        <v>3322</v>
      </c>
      <c r="BH26" s="43">
        <v>2710</v>
      </c>
      <c r="BI26" s="43">
        <v>2967</v>
      </c>
      <c r="BJ26" s="43">
        <v>3323</v>
      </c>
      <c r="BK26" s="43">
        <v>2815</v>
      </c>
      <c r="BL26" s="43">
        <v>1836</v>
      </c>
      <c r="BM26" s="43">
        <v>2227</v>
      </c>
      <c r="BN26" s="43">
        <v>1786</v>
      </c>
      <c r="BO26" s="43">
        <v>2159</v>
      </c>
      <c r="BP26" s="43">
        <v>2242</v>
      </c>
      <c r="BQ26" s="43">
        <v>-322</v>
      </c>
      <c r="BR26" s="43">
        <v>1403</v>
      </c>
      <c r="BS26" s="43">
        <v>1158</v>
      </c>
      <c r="BT26" s="43">
        <v>914</v>
      </c>
      <c r="BU26" s="43">
        <v>549</v>
      </c>
      <c r="BV26" s="43">
        <f t="shared" ref="BV26" si="42">+BR26*0.5</f>
        <v>701.5</v>
      </c>
      <c r="BW26" s="43"/>
      <c r="BX26" s="43"/>
      <c r="BY26" s="43"/>
      <c r="BZ26" s="43"/>
      <c r="CA26" s="42"/>
      <c r="CB26" s="41"/>
      <c r="CC26" s="41"/>
      <c r="CD26" s="41"/>
      <c r="CE26" s="41"/>
      <c r="CF26" s="41"/>
      <c r="CG26" s="41"/>
      <c r="CH26" s="41"/>
      <c r="CI26" s="41"/>
      <c r="CJ26" s="41"/>
      <c r="CK26" s="41"/>
      <c r="CL26" s="43">
        <v>0</v>
      </c>
      <c r="CM26" s="43">
        <f>SUM(G26:J26)</f>
        <v>87</v>
      </c>
      <c r="CN26" s="43">
        <f>SUM(K26:N26)</f>
        <v>2317</v>
      </c>
      <c r="CO26" s="43">
        <v>5991</v>
      </c>
      <c r="CP26" s="43">
        <v>9495</v>
      </c>
      <c r="CQ26" s="41"/>
      <c r="CR26" s="41"/>
      <c r="CS26" s="41"/>
      <c r="CT26" s="39"/>
      <c r="CU26" s="45"/>
      <c r="CV26" s="45"/>
      <c r="CW26" s="45"/>
      <c r="CX26" s="45">
        <f t="shared" ref="CX26:CX32" si="43">SUM(AY26:BB26)</f>
        <v>18747</v>
      </c>
      <c r="CY26" s="45">
        <f t="shared" ref="CY26:CY32" si="44">SUM(BC26:BF26)</f>
        <v>15054</v>
      </c>
      <c r="CZ26" s="45">
        <f t="shared" ref="CZ26:CZ32" si="45">SUM(BG26:BJ26)</f>
        <v>12322</v>
      </c>
      <c r="DA26" s="45">
        <f t="shared" ref="DA26:DA32" si="46">SUM(BK26:BN26)</f>
        <v>8664</v>
      </c>
      <c r="DB26" s="45">
        <f t="shared" ref="DB26:DB42" si="47">SUM(BO26:BR26)</f>
        <v>5482</v>
      </c>
      <c r="DC26" s="45">
        <f>SUM(BS26:BV26)</f>
        <v>3322.5</v>
      </c>
      <c r="DD26" s="45">
        <f>+DC26*0.8</f>
        <v>2658</v>
      </c>
      <c r="DE26" s="45">
        <f t="shared" ref="DE26:DM26" si="48">+DD26*0.8</f>
        <v>2126.4</v>
      </c>
      <c r="DF26" s="45">
        <f t="shared" si="48"/>
        <v>1701.1200000000001</v>
      </c>
      <c r="DG26" s="45">
        <f t="shared" si="48"/>
        <v>1360.8960000000002</v>
      </c>
      <c r="DH26" s="45">
        <f t="shared" si="48"/>
        <v>1088.7168000000001</v>
      </c>
      <c r="DI26" s="45">
        <f t="shared" si="48"/>
        <v>870.97344000000021</v>
      </c>
      <c r="DJ26" s="45">
        <f t="shared" si="48"/>
        <v>696.77875200000017</v>
      </c>
      <c r="DK26" s="45">
        <f t="shared" si="48"/>
        <v>557.42300160000013</v>
      </c>
      <c r="DL26" s="45">
        <f t="shared" si="48"/>
        <v>445.93840128000011</v>
      </c>
      <c r="DM26" s="45">
        <f t="shared" si="48"/>
        <v>356.75072102400009</v>
      </c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  <c r="EP26" s="39"/>
      <c r="EQ26" s="39"/>
      <c r="ER26" s="39"/>
      <c r="ES26" s="39"/>
    </row>
    <row r="27" spans="1:149" ht="13" customHeight="1">
      <c r="A27" s="40"/>
      <c r="B27" s="46" t="s">
        <v>172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0</v>
      </c>
      <c r="AR27" s="43">
        <v>0</v>
      </c>
      <c r="AS27" s="43">
        <v>0</v>
      </c>
      <c r="AT27" s="43">
        <v>0</v>
      </c>
      <c r="AU27" s="43">
        <v>0</v>
      </c>
      <c r="AV27" s="43">
        <v>0</v>
      </c>
      <c r="AW27" s="43">
        <v>0</v>
      </c>
      <c r="AX27" s="43">
        <v>50</v>
      </c>
      <c r="AY27" s="43">
        <v>229</v>
      </c>
      <c r="AZ27" s="43">
        <v>355</v>
      </c>
      <c r="BA27" s="43">
        <v>454</v>
      </c>
      <c r="BB27" s="43">
        <v>835</v>
      </c>
      <c r="BC27" s="43">
        <v>729</v>
      </c>
      <c r="BD27" s="43">
        <v>945</v>
      </c>
      <c r="BE27" s="43">
        <v>1341</v>
      </c>
      <c r="BF27" s="43">
        <v>1823</v>
      </c>
      <c r="BG27" s="43">
        <v>2063</v>
      </c>
      <c r="BH27" s="43">
        <v>2172</v>
      </c>
      <c r="BI27" s="43">
        <v>3011</v>
      </c>
      <c r="BJ27" s="43">
        <v>4053</v>
      </c>
      <c r="BK27" s="43">
        <v>4356</v>
      </c>
      <c r="BL27" s="43">
        <v>3988</v>
      </c>
      <c r="BM27" s="43">
        <v>4496</v>
      </c>
      <c r="BN27" s="43">
        <v>5910</v>
      </c>
      <c r="BO27" s="43">
        <v>5013</v>
      </c>
      <c r="BP27" s="43">
        <v>5918</v>
      </c>
      <c r="BQ27" s="43">
        <v>5453</v>
      </c>
      <c r="BR27" s="43">
        <v>6917</v>
      </c>
      <c r="BS27" s="43">
        <v>5695</v>
      </c>
      <c r="BT27" s="43">
        <v>5653</v>
      </c>
      <c r="BU27" s="43">
        <v>5442</v>
      </c>
      <c r="BV27" s="43">
        <f>+BR27*1.01</f>
        <v>6986.17</v>
      </c>
      <c r="BW27" s="43"/>
      <c r="BX27" s="43"/>
      <c r="BY27" s="43"/>
      <c r="BZ27" s="43"/>
      <c r="CA27" s="42"/>
      <c r="CB27" s="41"/>
      <c r="CC27" s="41"/>
      <c r="CD27" s="41"/>
      <c r="CE27" s="41"/>
      <c r="CF27" s="41"/>
      <c r="CG27" s="41"/>
      <c r="CH27" s="41"/>
      <c r="CI27" s="41"/>
      <c r="CJ27" s="41"/>
      <c r="CK27" s="41"/>
      <c r="CL27" s="43"/>
      <c r="CM27" s="43"/>
      <c r="CN27" s="43"/>
      <c r="CO27" s="41"/>
      <c r="CP27" s="41"/>
      <c r="CQ27" s="41"/>
      <c r="CR27" s="41"/>
      <c r="CS27" s="41"/>
      <c r="CT27" s="39"/>
      <c r="CU27" s="45"/>
      <c r="CV27" s="45"/>
      <c r="CW27" s="45"/>
      <c r="CX27" s="45">
        <f t="shared" si="43"/>
        <v>1873</v>
      </c>
      <c r="CY27" s="45">
        <f t="shared" si="44"/>
        <v>4838</v>
      </c>
      <c r="CZ27" s="45">
        <f t="shared" si="45"/>
        <v>11299</v>
      </c>
      <c r="DA27" s="45">
        <f t="shared" si="46"/>
        <v>18750</v>
      </c>
      <c r="DB27" s="45">
        <f t="shared" si="47"/>
        <v>23301</v>
      </c>
      <c r="DC27" s="45">
        <f>SUM(BS27:BV27)</f>
        <v>23776.17</v>
      </c>
      <c r="DD27" s="45">
        <f>+DC27*0.95</f>
        <v>22587.361499999999</v>
      </c>
      <c r="DE27" s="45">
        <f t="shared" ref="DE27:DM27" si="49">+DD27*0.95</f>
        <v>21457.993424999997</v>
      </c>
      <c r="DF27" s="45">
        <f t="shared" si="49"/>
        <v>20385.093753749996</v>
      </c>
      <c r="DG27" s="45">
        <f t="shared" si="49"/>
        <v>19365.839066062494</v>
      </c>
      <c r="DH27" s="45">
        <f t="shared" si="49"/>
        <v>18397.547112759366</v>
      </c>
      <c r="DI27" s="45">
        <f t="shared" si="49"/>
        <v>17477.669757121399</v>
      </c>
      <c r="DJ27" s="45">
        <f t="shared" si="49"/>
        <v>16603.786269265329</v>
      </c>
      <c r="DK27" s="45">
        <f t="shared" si="49"/>
        <v>15773.596955802062</v>
      </c>
      <c r="DL27" s="45">
        <f t="shared" si="49"/>
        <v>14984.917108011959</v>
      </c>
      <c r="DM27" s="45">
        <f t="shared" si="49"/>
        <v>14235.671252611361</v>
      </c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  <c r="EP27" s="39"/>
      <c r="EQ27" s="39"/>
      <c r="ER27" s="39"/>
      <c r="ES27" s="39"/>
    </row>
    <row r="28" spans="1:149" ht="13" customHeight="1">
      <c r="A28" s="40"/>
      <c r="B28" s="46" t="s">
        <v>173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69</v>
      </c>
      <c r="AR28" s="43">
        <f>264-AQ28</f>
        <v>195</v>
      </c>
      <c r="AS28" s="43">
        <v>540</v>
      </c>
      <c r="AT28" s="43">
        <v>992</v>
      </c>
      <c r="AU28" s="43">
        <v>1425</v>
      </c>
      <c r="AV28" s="43">
        <v>2325</v>
      </c>
      <c r="AW28" s="43">
        <v>3122</v>
      </c>
      <c r="AX28" s="43">
        <v>4365</v>
      </c>
      <c r="AY28" s="43">
        <v>4755</v>
      </c>
      <c r="AZ28" s="43">
        <v>4836</v>
      </c>
      <c r="BA28" s="43">
        <v>5432</v>
      </c>
      <c r="BB28" s="43">
        <v>6188</v>
      </c>
      <c r="BC28" s="43">
        <v>6662</v>
      </c>
      <c r="BD28" s="43">
        <v>7435</v>
      </c>
      <c r="BE28" s="43">
        <v>8892</v>
      </c>
      <c r="BF28" s="43">
        <v>10716</v>
      </c>
      <c r="BG28" s="43">
        <v>12035</v>
      </c>
      <c r="BH28" s="43">
        <v>14349</v>
      </c>
      <c r="BI28" s="43">
        <v>16390</v>
      </c>
      <c r="BJ28" s="43">
        <v>16976</v>
      </c>
      <c r="BK28" s="43">
        <v>19640</v>
      </c>
      <c r="BL28" s="43">
        <v>22101</v>
      </c>
      <c r="BM28" s="43">
        <v>23912</v>
      </c>
      <c r="BN28" s="43">
        <v>30065</v>
      </c>
      <c r="BO28" s="43">
        <v>27810</v>
      </c>
      <c r="BP28" s="43">
        <v>28875</v>
      </c>
      <c r="BQ28" s="43">
        <v>29804</v>
      </c>
      <c r="BR28" s="43">
        <v>33853</v>
      </c>
      <c r="BS28" s="43">
        <v>32721</v>
      </c>
      <c r="BT28" s="43">
        <v>31799</v>
      </c>
      <c r="BU28" s="43">
        <v>30744</v>
      </c>
      <c r="BV28" s="43">
        <f>+BR28*1.05</f>
        <v>35545.65</v>
      </c>
      <c r="BW28" s="43"/>
      <c r="BX28" s="43"/>
      <c r="BY28" s="43"/>
      <c r="BZ28" s="43"/>
      <c r="CA28" s="42"/>
      <c r="CB28" s="41"/>
      <c r="CC28" s="41"/>
      <c r="CD28" s="41"/>
      <c r="CE28" s="41"/>
      <c r="CF28" s="41"/>
      <c r="CG28" s="41"/>
      <c r="CH28" s="41"/>
      <c r="CI28" s="41"/>
      <c r="CJ28" s="41"/>
      <c r="CK28" s="41"/>
      <c r="CL28" s="43"/>
      <c r="CM28" s="43"/>
      <c r="CN28" s="43"/>
      <c r="CO28" s="41"/>
      <c r="CP28" s="41"/>
      <c r="CQ28" s="41"/>
      <c r="CR28" s="41"/>
      <c r="CS28" s="41"/>
      <c r="CT28" s="39"/>
      <c r="CU28" s="45"/>
      <c r="CV28" s="45"/>
      <c r="CW28" s="45"/>
      <c r="CX28" s="45">
        <f t="shared" si="43"/>
        <v>21211</v>
      </c>
      <c r="CY28" s="45">
        <f t="shared" si="44"/>
        <v>33705</v>
      </c>
      <c r="CZ28" s="45">
        <f t="shared" si="45"/>
        <v>59750</v>
      </c>
      <c r="DA28" s="45">
        <f t="shared" si="46"/>
        <v>95718</v>
      </c>
      <c r="DB28" s="45">
        <f t="shared" si="47"/>
        <v>120342</v>
      </c>
      <c r="DC28" s="45">
        <f>SUM(BS28:BV28)</f>
        <v>130809.65</v>
      </c>
      <c r="DD28" s="45">
        <f>+DC28*0.95</f>
        <v>124269.1675</v>
      </c>
      <c r="DE28" s="45">
        <f>+DD28*0.95</f>
        <v>118055.70912499999</v>
      </c>
      <c r="DF28" s="45">
        <f>+DE28*0.95</f>
        <v>112152.92366874999</v>
      </c>
      <c r="DG28" s="45">
        <f>+DF28*0.95</f>
        <v>106545.27748531249</v>
      </c>
      <c r="DH28" s="45">
        <f>+DG28*0.95</f>
        <v>101218.01361104686</v>
      </c>
      <c r="DI28" s="45">
        <f t="shared" ref="DI28:DM28" si="50">+DH28*0.95</f>
        <v>96157.112930494506</v>
      </c>
      <c r="DJ28" s="45">
        <f t="shared" si="50"/>
        <v>91349.257283969782</v>
      </c>
      <c r="DK28" s="45">
        <f t="shared" si="50"/>
        <v>86781.794419771293</v>
      </c>
      <c r="DL28" s="45">
        <f t="shared" si="50"/>
        <v>82442.70469878272</v>
      </c>
      <c r="DM28" s="45">
        <f t="shared" si="50"/>
        <v>78320.569463843582</v>
      </c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  <c r="EP28" s="39"/>
      <c r="EQ28" s="39"/>
      <c r="ER28" s="39"/>
      <c r="ES28" s="39"/>
    </row>
    <row r="29" spans="1:149" ht="13" customHeight="1">
      <c r="A29" s="40"/>
      <c r="B29" s="46" t="s">
        <v>573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/>
      <c r="AR29" s="43"/>
      <c r="AS29" s="43"/>
      <c r="AT29" s="43"/>
      <c r="AU29" s="43"/>
      <c r="AV29" s="43"/>
      <c r="AW29" s="43"/>
      <c r="AX29" s="43"/>
      <c r="AY29" s="43"/>
      <c r="AZ29" s="43"/>
      <c r="BA29" s="43"/>
      <c r="BB29" s="43"/>
      <c r="BC29" s="43"/>
      <c r="BD29" s="43"/>
      <c r="BE29" s="43"/>
      <c r="BF29" s="43"/>
      <c r="BG29" s="43"/>
      <c r="BH29" s="43"/>
      <c r="BI29" s="43"/>
      <c r="BJ29" s="43"/>
      <c r="BK29" s="43"/>
      <c r="BL29" s="43"/>
      <c r="BM29" s="43"/>
      <c r="BN29" s="43"/>
      <c r="BO29" s="43"/>
      <c r="BP29" s="43"/>
      <c r="BQ29" s="43"/>
      <c r="BR29" s="43"/>
      <c r="BS29" s="43"/>
      <c r="BT29" s="43"/>
      <c r="BU29" s="43"/>
      <c r="BV29" s="43"/>
      <c r="BW29" s="43"/>
      <c r="BX29" s="43"/>
      <c r="BY29" s="43"/>
      <c r="BZ29" s="43"/>
      <c r="CA29" s="42"/>
      <c r="CB29" s="41"/>
      <c r="CC29" s="41"/>
      <c r="CD29" s="41"/>
      <c r="CE29" s="41"/>
      <c r="CF29" s="41"/>
      <c r="CG29" s="41"/>
      <c r="CH29" s="41"/>
      <c r="CI29" s="41"/>
      <c r="CJ29" s="41"/>
      <c r="CK29" s="41"/>
      <c r="CL29" s="43"/>
      <c r="CM29" s="43"/>
      <c r="CN29" s="43"/>
      <c r="CO29" s="41"/>
      <c r="CP29" s="41"/>
      <c r="CQ29" s="41"/>
      <c r="CR29" s="41"/>
      <c r="CS29" s="41"/>
      <c r="CT29" s="39"/>
      <c r="CU29" s="45"/>
      <c r="CV29" s="45"/>
      <c r="CW29" s="45"/>
      <c r="CX29" s="45"/>
      <c r="CY29" s="45"/>
      <c r="CZ29" s="45"/>
      <c r="DA29" s="45"/>
      <c r="DB29" s="45"/>
      <c r="DC29" s="56" t="s">
        <v>604</v>
      </c>
      <c r="DD29" s="56" t="s">
        <v>605</v>
      </c>
      <c r="DE29" s="56" t="s">
        <v>605</v>
      </c>
      <c r="DF29" s="56" t="s">
        <v>606</v>
      </c>
      <c r="DG29" s="45">
        <v>20000</v>
      </c>
      <c r="DH29" s="45">
        <f>+DG29*1.3</f>
        <v>26000</v>
      </c>
      <c r="DI29" s="45">
        <f t="shared" ref="DI29:DM29" si="51">+DH29*1.3</f>
        <v>33800</v>
      </c>
      <c r="DJ29" s="45">
        <f t="shared" si="51"/>
        <v>43940</v>
      </c>
      <c r="DK29" s="45">
        <f t="shared" si="51"/>
        <v>57122</v>
      </c>
      <c r="DL29" s="45">
        <f t="shared" si="51"/>
        <v>74258.600000000006</v>
      </c>
      <c r="DM29" s="45">
        <f t="shared" si="51"/>
        <v>96536.180000000008</v>
      </c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  <c r="EP29" s="39"/>
      <c r="EQ29" s="39"/>
      <c r="ER29" s="39"/>
      <c r="ES29" s="39"/>
    </row>
    <row r="30" spans="1:149" ht="13" customHeight="1">
      <c r="A30" s="40"/>
      <c r="B30" s="46" t="s">
        <v>129</v>
      </c>
      <c r="C30" s="44">
        <v>443</v>
      </c>
      <c r="D30" s="44">
        <v>460</v>
      </c>
      <c r="E30" s="44">
        <v>464</v>
      </c>
      <c r="F30" s="44">
        <v>477</v>
      </c>
      <c r="G30" s="43">
        <v>484</v>
      </c>
      <c r="H30" s="43">
        <v>492</v>
      </c>
      <c r="I30" s="43">
        <v>519</v>
      </c>
      <c r="J30" s="43">
        <f>2064-I30-H30-G30</f>
        <v>569</v>
      </c>
      <c r="K30" s="43">
        <v>503</v>
      </c>
      <c r="L30" s="43">
        <v>583</v>
      </c>
      <c r="M30" s="43">
        <v>567</v>
      </c>
      <c r="N30" s="43">
        <v>561</v>
      </c>
      <c r="O30" s="43">
        <v>639</v>
      </c>
      <c r="P30" s="43"/>
      <c r="Q30" s="43"/>
      <c r="R30" s="43"/>
      <c r="S30" s="43"/>
      <c r="T30" s="43"/>
      <c r="U30" s="43"/>
      <c r="V30" s="43"/>
      <c r="W30" s="43">
        <v>597</v>
      </c>
      <c r="X30" s="43">
        <v>619</v>
      </c>
      <c r="Y30" s="43">
        <v>624</v>
      </c>
      <c r="Z30" s="43">
        <v>572</v>
      </c>
      <c r="AA30" s="43">
        <v>587</v>
      </c>
      <c r="AB30" s="43">
        <f>1166-AA30</f>
        <v>579</v>
      </c>
      <c r="AC30" s="43"/>
      <c r="AD30" s="43"/>
      <c r="AE30" s="43"/>
      <c r="AF30" s="43"/>
      <c r="AG30" s="43"/>
      <c r="AH30" s="43"/>
      <c r="AI30" s="43"/>
      <c r="AJ30" s="43"/>
      <c r="AK30" s="43"/>
      <c r="AL30" s="43"/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3"/>
      <c r="BX30" s="43"/>
      <c r="BY30" s="43"/>
      <c r="BZ30" s="43"/>
      <c r="CA30" s="42"/>
      <c r="CB30" s="41"/>
      <c r="CC30" s="41"/>
      <c r="CD30" s="41"/>
      <c r="CE30" s="41"/>
      <c r="CF30" s="41"/>
      <c r="CG30" s="41"/>
      <c r="CH30" s="41"/>
      <c r="CI30" s="41"/>
      <c r="CJ30" s="41"/>
      <c r="CK30" s="41"/>
      <c r="CL30" s="43">
        <f t="shared" si="31"/>
        <v>1844</v>
      </c>
      <c r="CM30" s="43">
        <f t="shared" ref="CM30:CM41" si="52">SUM(G30:J30)</f>
        <v>2064</v>
      </c>
      <c r="CN30" s="43">
        <f>SUM(K30:N30)</f>
        <v>2214</v>
      </c>
      <c r="CO30" s="43">
        <v>2309</v>
      </c>
      <c r="CP30" s="43">
        <v>2511</v>
      </c>
      <c r="CQ30" s="41"/>
      <c r="CR30" s="41"/>
      <c r="CS30" s="41"/>
      <c r="CT30" s="39"/>
      <c r="CU30" s="45"/>
      <c r="CV30" s="45"/>
      <c r="CW30" s="45"/>
      <c r="CX30" s="45"/>
      <c r="CY30" s="45"/>
      <c r="CZ30" s="45"/>
      <c r="DA30" s="45"/>
      <c r="DB30" s="45"/>
      <c r="DC30" s="45"/>
      <c r="DD30" s="45"/>
      <c r="DE30" s="45"/>
      <c r="DF30" s="45"/>
      <c r="DG30" s="45"/>
      <c r="DH30" s="45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  <c r="EP30" s="39"/>
      <c r="EQ30" s="39"/>
      <c r="ER30" s="39"/>
      <c r="ES30" s="39"/>
    </row>
    <row r="31" spans="1:149" ht="13" customHeight="1">
      <c r="A31" s="40"/>
      <c r="B31" s="46" t="s">
        <v>177</v>
      </c>
      <c r="C31" s="44"/>
      <c r="D31" s="44"/>
      <c r="E31" s="44"/>
      <c r="F31" s="44"/>
      <c r="G31" s="43"/>
      <c r="H31" s="43"/>
      <c r="I31" s="43"/>
      <c r="J31" s="43"/>
      <c r="K31" s="43"/>
      <c r="L31" s="43"/>
      <c r="M31" s="43"/>
      <c r="N31" s="43"/>
      <c r="O31" s="43"/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>
        <v>1404</v>
      </c>
      <c r="BH31" s="43">
        <v>1181</v>
      </c>
      <c r="BI31" s="43">
        <v>1157</v>
      </c>
      <c r="BJ31" s="43">
        <v>2446</v>
      </c>
      <c r="BK31" s="43">
        <v>4563</v>
      </c>
      <c r="BL31" s="43">
        <v>7518</v>
      </c>
      <c r="BM31" s="43">
        <v>9648</v>
      </c>
      <c r="BN31" s="43">
        <v>9614</v>
      </c>
      <c r="BO31" s="43">
        <v>9377</v>
      </c>
      <c r="BP31" s="43">
        <v>11659</v>
      </c>
      <c r="BQ31" s="43">
        <v>17304</v>
      </c>
      <c r="BR31" s="43">
        <v>19866</v>
      </c>
      <c r="BS31" s="43">
        <v>17360</v>
      </c>
      <c r="BT31" s="43">
        <v>19528</v>
      </c>
      <c r="BU31" s="43">
        <v>20354</v>
      </c>
      <c r="BV31" s="43">
        <f>+BR31*1.05</f>
        <v>20859.3</v>
      </c>
      <c r="BW31" s="43"/>
      <c r="BX31" s="43"/>
      <c r="BY31" s="43"/>
      <c r="BZ31" s="43"/>
      <c r="CA31" s="42"/>
      <c r="CB31" s="41"/>
      <c r="CC31" s="41"/>
      <c r="CD31" s="41"/>
      <c r="CE31" s="41"/>
      <c r="CF31" s="41"/>
      <c r="CG31" s="41"/>
      <c r="CH31" s="41"/>
      <c r="CI31" s="41"/>
      <c r="CJ31" s="41"/>
      <c r="CK31" s="41"/>
      <c r="CL31" s="43"/>
      <c r="CM31" s="43"/>
      <c r="CN31" s="43"/>
      <c r="CO31" s="41"/>
      <c r="CP31" s="41"/>
      <c r="CQ31" s="41"/>
      <c r="CR31" s="41"/>
      <c r="CS31" s="41"/>
      <c r="CT31" s="39"/>
      <c r="CU31" s="45"/>
      <c r="CV31" s="45"/>
      <c r="CW31" s="45"/>
      <c r="CX31" s="45">
        <f t="shared" si="43"/>
        <v>0</v>
      </c>
      <c r="CY31" s="45">
        <f t="shared" si="44"/>
        <v>0</v>
      </c>
      <c r="CZ31" s="45">
        <f t="shared" si="45"/>
        <v>6188</v>
      </c>
      <c r="DA31" s="45">
        <f t="shared" si="46"/>
        <v>31343</v>
      </c>
      <c r="DB31" s="45">
        <f t="shared" si="47"/>
        <v>58206</v>
      </c>
      <c r="DC31" s="45">
        <f>SUM(BS31:BV31)</f>
        <v>78101.3</v>
      </c>
      <c r="DD31" s="45">
        <f>+DC31*0.95</f>
        <v>74196.235000000001</v>
      </c>
      <c r="DE31" s="45">
        <f t="shared" ref="DE31:DH31" si="53">+DD31*0.95</f>
        <v>70486.423249999993</v>
      </c>
      <c r="DF31" s="45">
        <f t="shared" si="53"/>
        <v>66962.102087499996</v>
      </c>
      <c r="DG31" s="45">
        <f t="shared" si="53"/>
        <v>63613.996983124991</v>
      </c>
      <c r="DH31" s="45">
        <f t="shared" si="53"/>
        <v>60433.297133968736</v>
      </c>
      <c r="DI31" s="45">
        <f>+DH31*0.7</f>
        <v>42303.307993778115</v>
      </c>
      <c r="DJ31" s="45">
        <f>+DI31*0.7</f>
        <v>29612.315595644679</v>
      </c>
      <c r="DK31" s="45">
        <f>+DJ31*0.7</f>
        <v>20728.620916951273</v>
      </c>
      <c r="DL31" s="45">
        <f>+DK31*0.7</f>
        <v>14510.03464186589</v>
      </c>
      <c r="DM31" s="45">
        <f>+DL31*0.7</f>
        <v>10157.024249306123</v>
      </c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  <c r="EP31" s="39"/>
      <c r="EQ31" s="39"/>
      <c r="ER31" s="39"/>
      <c r="ES31" s="39"/>
    </row>
    <row r="32" spans="1:149" ht="13" customHeight="1">
      <c r="A32" s="40"/>
      <c r="B32" s="46" t="s">
        <v>178</v>
      </c>
      <c r="C32" s="44"/>
      <c r="D32" s="44"/>
      <c r="E32" s="44"/>
      <c r="F32" s="44"/>
      <c r="G32" s="43"/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/>
      <c r="AB32" s="43"/>
      <c r="AC32" s="43"/>
      <c r="AD32" s="43"/>
      <c r="AE32" s="43"/>
      <c r="AF32" s="43"/>
      <c r="AG32" s="43"/>
      <c r="AH32" s="43"/>
      <c r="AI32" s="43"/>
      <c r="AJ32" s="43"/>
      <c r="AK32" s="43"/>
      <c r="AL32" s="43"/>
      <c r="AM32" s="43"/>
      <c r="AN32" s="43"/>
      <c r="AO32" s="43"/>
      <c r="AP32" s="43"/>
      <c r="AQ32" s="43">
        <v>770</v>
      </c>
      <c r="AR32" s="43">
        <v>883</v>
      </c>
      <c r="AS32" s="43">
        <v>987</v>
      </c>
      <c r="AT32" s="43">
        <v>1229</v>
      </c>
      <c r="AU32" s="43">
        <v>1211</v>
      </c>
      <c r="AV32" s="43">
        <v>1462</v>
      </c>
      <c r="AW32" s="43">
        <v>1442</v>
      </c>
      <c r="AX32" s="43">
        <v>1564</v>
      </c>
      <c r="AY32" s="43">
        <v>1577</v>
      </c>
      <c r="AZ32" s="43">
        <v>1308</v>
      </c>
      <c r="BA32" s="43">
        <v>1338</v>
      </c>
      <c r="BB32" s="43">
        <v>1385</v>
      </c>
      <c r="BC32" s="43">
        <v>1551</v>
      </c>
      <c r="BD32" s="43">
        <v>1992</v>
      </c>
      <c r="BE32" s="43">
        <v>2398</v>
      </c>
      <c r="BF32" s="43">
        <v>2459</v>
      </c>
      <c r="BG32" s="43">
        <v>1998</v>
      </c>
      <c r="BH32" s="43">
        <v>2462</v>
      </c>
      <c r="BI32" s="43">
        <v>3174</v>
      </c>
      <c r="BJ32" s="43">
        <v>3042</v>
      </c>
      <c r="BK32" s="43">
        <v>3279</v>
      </c>
      <c r="BL32" s="43">
        <v>2788</v>
      </c>
      <c r="BM32" s="43">
        <v>2607</v>
      </c>
      <c r="BN32" s="43">
        <v>1615</v>
      </c>
      <c r="BO32" s="43">
        <v>1658</v>
      </c>
      <c r="BP32" s="43">
        <v>2245</v>
      </c>
      <c r="BQ32" s="43">
        <v>1497</v>
      </c>
      <c r="BR32" s="43">
        <v>1540</v>
      </c>
      <c r="BS32" s="43">
        <v>1064</v>
      </c>
      <c r="BT32" s="43">
        <v>844</v>
      </c>
      <c r="BU32" s="43">
        <v>752</v>
      </c>
      <c r="BV32" s="43">
        <f t="shared" ref="BV32" si="54">+BR32*0.5</f>
        <v>770</v>
      </c>
      <c r="BW32" s="43"/>
      <c r="BX32" s="43"/>
      <c r="BY32" s="43"/>
      <c r="BZ32" s="43"/>
      <c r="CA32" s="42"/>
      <c r="CB32" s="41"/>
      <c r="CC32" s="41"/>
      <c r="CD32" s="41"/>
      <c r="CE32" s="41"/>
      <c r="CF32" s="41"/>
      <c r="CG32" s="41"/>
      <c r="CH32" s="41"/>
      <c r="CI32" s="41"/>
      <c r="CJ32" s="41"/>
      <c r="CK32" s="41"/>
      <c r="CL32" s="43"/>
      <c r="CM32" s="43"/>
      <c r="CN32" s="43"/>
      <c r="CO32" s="41"/>
      <c r="CP32" s="41"/>
      <c r="CQ32" s="41"/>
      <c r="CR32" s="41"/>
      <c r="CS32" s="41"/>
      <c r="CT32" s="39"/>
      <c r="CU32" s="45"/>
      <c r="CV32" s="45"/>
      <c r="CW32" s="45"/>
      <c r="CX32" s="45">
        <f t="shared" si="43"/>
        <v>5608</v>
      </c>
      <c r="CY32" s="45">
        <f t="shared" si="44"/>
        <v>8400</v>
      </c>
      <c r="CZ32" s="45">
        <f t="shared" si="45"/>
        <v>10676</v>
      </c>
      <c r="DA32" s="45">
        <f t="shared" si="46"/>
        <v>10289</v>
      </c>
      <c r="DB32" s="45">
        <f t="shared" si="47"/>
        <v>6940</v>
      </c>
      <c r="DC32" s="45">
        <f t="shared" si="20"/>
        <v>3430</v>
      </c>
      <c r="DD32" s="45">
        <f>+DC32*0.8</f>
        <v>2744</v>
      </c>
      <c r="DE32" s="45">
        <f t="shared" ref="DE32:DM32" si="55">+DD32*0.8</f>
        <v>2195.2000000000003</v>
      </c>
      <c r="DF32" s="45">
        <f t="shared" si="55"/>
        <v>1756.1600000000003</v>
      </c>
      <c r="DG32" s="45">
        <f t="shared" si="55"/>
        <v>1404.9280000000003</v>
      </c>
      <c r="DH32" s="45">
        <f t="shared" si="55"/>
        <v>1123.9424000000004</v>
      </c>
      <c r="DI32" s="45">
        <f t="shared" si="55"/>
        <v>899.15392000000031</v>
      </c>
      <c r="DJ32" s="45">
        <f t="shared" si="55"/>
        <v>719.32313600000032</v>
      </c>
      <c r="DK32" s="45">
        <f t="shared" si="55"/>
        <v>575.45850880000023</v>
      </c>
      <c r="DL32" s="45">
        <f t="shared" si="55"/>
        <v>460.3668070400002</v>
      </c>
      <c r="DM32" s="45">
        <f t="shared" si="55"/>
        <v>368.29344563200016</v>
      </c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  <c r="EP32" s="39"/>
      <c r="EQ32" s="39"/>
      <c r="ER32" s="39"/>
      <c r="ES32" s="39"/>
    </row>
    <row r="33" spans="1:149" ht="13" customHeight="1">
      <c r="A33" s="40"/>
      <c r="B33" s="46"/>
      <c r="C33" s="44"/>
      <c r="D33" s="44"/>
      <c r="E33" s="44"/>
      <c r="F33" s="44"/>
      <c r="G33" s="43"/>
      <c r="H33" s="43"/>
      <c r="I33" s="43"/>
      <c r="J33" s="43"/>
      <c r="K33" s="43"/>
      <c r="L33" s="43"/>
      <c r="M33" s="43"/>
      <c r="N33" s="43"/>
      <c r="O33" s="43"/>
      <c r="P33" s="43"/>
      <c r="Q33" s="43"/>
      <c r="R33" s="43"/>
      <c r="S33" s="43"/>
      <c r="T33" s="43"/>
      <c r="U33" s="43"/>
      <c r="V33" s="43"/>
      <c r="W33" s="43"/>
      <c r="X33" s="43"/>
      <c r="Y33" s="43"/>
      <c r="Z33" s="43"/>
      <c r="AA33" s="43"/>
      <c r="AB33" s="43"/>
      <c r="AC33" s="43"/>
      <c r="AD33" s="43"/>
      <c r="AE33" s="43"/>
      <c r="AF33" s="43"/>
      <c r="AG33" s="43"/>
      <c r="AH33" s="43"/>
      <c r="AI33" s="43"/>
      <c r="AJ33" s="43"/>
      <c r="AK33" s="43"/>
      <c r="AL33" s="43"/>
      <c r="AM33" s="43"/>
      <c r="AN33" s="43"/>
      <c r="AO33" s="43"/>
      <c r="AP33" s="43"/>
      <c r="AQ33" s="43"/>
      <c r="AR33" s="43"/>
      <c r="AS33" s="43"/>
      <c r="AT33" s="43"/>
      <c r="AU33" s="43"/>
      <c r="AV33" s="43"/>
      <c r="AW33" s="43"/>
      <c r="AX33" s="43"/>
      <c r="AY33" s="43"/>
      <c r="AZ33" s="43"/>
      <c r="BA33" s="43"/>
      <c r="BB33" s="43"/>
      <c r="BC33" s="43"/>
      <c r="BD33" s="43"/>
      <c r="BE33" s="43"/>
      <c r="BF33" s="43"/>
      <c r="BG33" s="43"/>
      <c r="BH33" s="43"/>
      <c r="BI33" s="43"/>
      <c r="BJ33" s="43"/>
      <c r="BK33" s="43"/>
      <c r="BL33" s="43"/>
      <c r="BM33" s="43"/>
      <c r="BN33" s="43"/>
      <c r="BO33" s="43"/>
      <c r="BP33" s="43"/>
      <c r="BQ33" s="43"/>
      <c r="BR33" s="43"/>
      <c r="BS33" s="43"/>
      <c r="BT33" s="43"/>
      <c r="BU33" s="43"/>
      <c r="BV33" s="43"/>
      <c r="BW33" s="43"/>
      <c r="BX33" s="43"/>
      <c r="BY33" s="43"/>
      <c r="BZ33" s="43"/>
      <c r="CA33" s="42"/>
      <c r="CB33" s="41"/>
      <c r="CC33" s="41"/>
      <c r="CD33" s="41"/>
      <c r="CE33" s="41"/>
      <c r="CF33" s="41"/>
      <c r="CG33" s="41"/>
      <c r="CH33" s="41"/>
      <c r="CI33" s="41"/>
      <c r="CJ33" s="41"/>
      <c r="CK33" s="41"/>
      <c r="CL33" s="43"/>
      <c r="CM33" s="43"/>
      <c r="CN33" s="43"/>
      <c r="CO33" s="41"/>
      <c r="CP33" s="41"/>
      <c r="CQ33" s="41"/>
      <c r="CR33" s="41"/>
      <c r="CS33" s="41"/>
      <c r="CT33" s="39"/>
      <c r="CU33" s="45"/>
      <c r="CV33" s="45"/>
      <c r="CW33" s="45"/>
      <c r="CX33" s="45"/>
      <c r="CY33" s="45"/>
      <c r="CZ33" s="45"/>
      <c r="DA33" s="45"/>
      <c r="DB33" s="45"/>
      <c r="DC33" s="45"/>
      <c r="DD33" s="45"/>
      <c r="DE33" s="45"/>
      <c r="DF33" s="45"/>
      <c r="DG33" s="45"/>
      <c r="DH33" s="45"/>
      <c r="DI33" s="39"/>
      <c r="DJ33" s="39"/>
      <c r="DK33" s="39"/>
      <c r="DL33" s="39"/>
      <c r="DM33" s="39"/>
      <c r="DN33" s="39"/>
      <c r="DO33" s="39"/>
      <c r="DP33" s="39"/>
      <c r="DQ33" s="39"/>
      <c r="DR33" s="39"/>
      <c r="DS33" s="39"/>
      <c r="DT33" s="39"/>
      <c r="DU33" s="39"/>
      <c r="DV33" s="39"/>
      <c r="DW33" s="39"/>
      <c r="DX33" s="39"/>
      <c r="DY33" s="39"/>
      <c r="DZ33" s="39"/>
      <c r="EA33" s="39"/>
      <c r="EB33" s="39"/>
      <c r="EC33" s="39"/>
      <c r="ED33" s="39"/>
      <c r="EE33" s="39"/>
      <c r="EF33" s="39"/>
      <c r="EG33" s="39"/>
      <c r="EH33" s="39"/>
      <c r="EI33" s="39"/>
      <c r="EJ33" s="39"/>
      <c r="EK33" s="39"/>
      <c r="EL33" s="39"/>
      <c r="EM33" s="39"/>
      <c r="EN33" s="39"/>
      <c r="EO33" s="39"/>
      <c r="EP33" s="39"/>
      <c r="EQ33" s="39"/>
      <c r="ER33" s="39"/>
      <c r="ES33" s="39"/>
    </row>
    <row r="34" spans="1:149" ht="13" customHeight="1">
      <c r="A34" s="40"/>
      <c r="B34" s="46" t="s">
        <v>130</v>
      </c>
      <c r="C34" s="44">
        <v>640</v>
      </c>
      <c r="D34" s="44">
        <v>478</v>
      </c>
      <c r="E34" s="44">
        <v>671</v>
      </c>
      <c r="F34" s="44">
        <v>602</v>
      </c>
      <c r="G34" s="43">
        <v>691</v>
      </c>
      <c r="H34" s="43">
        <v>675</v>
      </c>
      <c r="I34" s="43">
        <v>650</v>
      </c>
      <c r="J34" s="43">
        <f>2652-I34-H34-G34</f>
        <v>636</v>
      </c>
      <c r="K34" s="43">
        <v>645</v>
      </c>
      <c r="L34" s="43">
        <v>704</v>
      </c>
      <c r="M34" s="43">
        <v>736</v>
      </c>
      <c r="N34" s="43">
        <v>666</v>
      </c>
      <c r="O34" s="43">
        <v>711</v>
      </c>
      <c r="P34" s="43"/>
      <c r="Q34" s="43"/>
      <c r="R34" s="43"/>
      <c r="S34" s="43"/>
      <c r="T34" s="43"/>
      <c r="U34" s="43"/>
      <c r="V34" s="43"/>
      <c r="W34" s="43">
        <v>694</v>
      </c>
      <c r="X34" s="43">
        <v>681</v>
      </c>
      <c r="Y34" s="43">
        <v>504</v>
      </c>
      <c r="Z34" s="43">
        <v>367</v>
      </c>
      <c r="AA34" s="43">
        <v>426</v>
      </c>
      <c r="AB34" s="43">
        <f>878-AA34</f>
        <v>452</v>
      </c>
      <c r="AC34" s="43"/>
      <c r="AD34" s="43"/>
      <c r="AE34" s="43">
        <v>1195</v>
      </c>
      <c r="AF34" s="43">
        <v>1075</v>
      </c>
      <c r="AG34" s="43">
        <v>1223</v>
      </c>
      <c r="AH34" s="43">
        <v>1237</v>
      </c>
      <c r="AI34" s="43">
        <v>1374</v>
      </c>
      <c r="AJ34" s="43">
        <v>1391</v>
      </c>
      <c r="AK34" s="43">
        <v>1513</v>
      </c>
      <c r="AL34" s="43">
        <v>1566</v>
      </c>
      <c r="AM34" s="43"/>
      <c r="AN34" s="43"/>
      <c r="AO34" s="43"/>
      <c r="AP34" s="43"/>
      <c r="AQ34" s="43">
        <v>1121</v>
      </c>
      <c r="AR34" s="43">
        <f>1206-AR28</f>
        <v>1011</v>
      </c>
      <c r="AS34" s="43">
        <v>1044</v>
      </c>
      <c r="AT34" s="43">
        <v>1074</v>
      </c>
      <c r="AU34" s="43">
        <v>1067</v>
      </c>
      <c r="AV34" s="43">
        <v>1125</v>
      </c>
      <c r="AW34" s="43">
        <v>1038</v>
      </c>
      <c r="AX34" s="43">
        <v>1017</v>
      </c>
      <c r="AY34" s="43">
        <v>1125</v>
      </c>
      <c r="AZ34" s="43">
        <v>977</v>
      </c>
      <c r="BA34" s="43">
        <v>954</v>
      </c>
      <c r="BB34" s="43">
        <v>975</v>
      </c>
      <c r="BC34" s="43">
        <v>1110</v>
      </c>
      <c r="BD34" s="43">
        <v>809</v>
      </c>
      <c r="BE34" s="43">
        <v>859</v>
      </c>
      <c r="BF34" s="43">
        <v>816</v>
      </c>
      <c r="BG34" s="43">
        <v>884</v>
      </c>
      <c r="BH34" s="43">
        <v>830</v>
      </c>
      <c r="BI34" s="43">
        <v>798</v>
      </c>
      <c r="BJ34" s="43">
        <v>713</v>
      </c>
      <c r="BK34" s="43">
        <v>729</v>
      </c>
      <c r="BL34" s="43">
        <v>667</v>
      </c>
      <c r="BM34" s="43">
        <v>594</v>
      </c>
      <c r="BN34" s="43">
        <v>322</v>
      </c>
      <c r="BO34" s="43">
        <v>583</v>
      </c>
      <c r="BP34" s="43">
        <v>533</v>
      </c>
      <c r="BQ34" s="43">
        <v>492</v>
      </c>
      <c r="BR34" s="43">
        <v>512</v>
      </c>
      <c r="BS34" s="43">
        <v>473</v>
      </c>
      <c r="BT34" s="43">
        <v>454</v>
      </c>
      <c r="BU34" s="43">
        <v>421</v>
      </c>
      <c r="BV34" s="43">
        <f t="shared" ref="BV34" si="56">+BR34</f>
        <v>512</v>
      </c>
      <c r="BW34" s="43"/>
      <c r="BX34" s="43"/>
      <c r="BY34" s="43"/>
      <c r="BZ34" s="43"/>
      <c r="CA34" s="42"/>
      <c r="CB34" s="41"/>
      <c r="CC34" s="41"/>
      <c r="CD34" s="41"/>
      <c r="CE34" s="41"/>
      <c r="CF34" s="41"/>
      <c r="CG34" s="41"/>
      <c r="CH34" s="41"/>
      <c r="CI34" s="41"/>
      <c r="CJ34" s="41"/>
      <c r="CK34" s="41"/>
      <c r="CL34" s="43">
        <f t="shared" si="31"/>
        <v>2391</v>
      </c>
      <c r="CM34" s="43">
        <f t="shared" si="52"/>
        <v>2652</v>
      </c>
      <c r="CN34" s="43">
        <f>SUM(K34:N34)</f>
        <v>2751</v>
      </c>
      <c r="CO34" s="43">
        <v>2575</v>
      </c>
      <c r="CP34" s="43">
        <v>2758</v>
      </c>
      <c r="CQ34" s="41"/>
      <c r="CR34" s="41"/>
      <c r="CS34" s="41"/>
      <c r="CT34" s="39"/>
      <c r="CU34" s="45"/>
      <c r="CV34" s="45"/>
      <c r="CW34" s="45"/>
      <c r="CX34" s="45">
        <f t="shared" ref="CX34" si="57">SUM(AY34:BB34)</f>
        <v>4031</v>
      </c>
      <c r="CY34" s="45">
        <f t="shared" ref="CY34" si="58">SUM(BC34:BF34)</f>
        <v>3594</v>
      </c>
      <c r="CZ34" s="45">
        <f t="shared" ref="CZ34" si="59">SUM(BG34:BJ34)</f>
        <v>3225</v>
      </c>
      <c r="DA34" s="45">
        <f t="shared" ref="DA34" si="60">SUM(BK34:BN34)</f>
        <v>2312</v>
      </c>
      <c r="DB34" s="45">
        <f t="shared" si="47"/>
        <v>2120</v>
      </c>
      <c r="DC34" s="45">
        <f t="shared" si="20"/>
        <v>1860</v>
      </c>
      <c r="DD34" s="45">
        <f>+DC34*0.95</f>
        <v>1767</v>
      </c>
      <c r="DE34" s="45">
        <f t="shared" ref="DE34:DM34" si="61">+DD34*0.95</f>
        <v>1678.6499999999999</v>
      </c>
      <c r="DF34" s="45">
        <f t="shared" si="61"/>
        <v>1594.7174999999997</v>
      </c>
      <c r="DG34" s="45">
        <f t="shared" si="61"/>
        <v>1514.9816249999997</v>
      </c>
      <c r="DH34" s="45">
        <f t="shared" si="61"/>
        <v>1439.2325437499996</v>
      </c>
      <c r="DI34" s="45">
        <f t="shared" si="61"/>
        <v>1367.2709165624997</v>
      </c>
      <c r="DJ34" s="45">
        <f t="shared" si="61"/>
        <v>1298.9073707343746</v>
      </c>
      <c r="DK34" s="45">
        <f t="shared" si="61"/>
        <v>1233.9620021976557</v>
      </c>
      <c r="DL34" s="45">
        <f t="shared" si="61"/>
        <v>1172.2639020877727</v>
      </c>
      <c r="DM34" s="45">
        <f t="shared" si="61"/>
        <v>1113.650706983384</v>
      </c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  <c r="EP34" s="39"/>
      <c r="EQ34" s="39"/>
      <c r="ER34" s="39"/>
      <c r="ES34" s="39"/>
    </row>
    <row r="35" spans="1:149" ht="13" customHeight="1">
      <c r="A35" s="40"/>
      <c r="B35" s="46"/>
      <c r="C35" s="44"/>
      <c r="D35" s="44"/>
      <c r="E35" s="44"/>
      <c r="F35" s="44"/>
      <c r="G35" s="43"/>
      <c r="H35" s="43"/>
      <c r="I35" s="43"/>
      <c r="J35" s="43"/>
      <c r="K35" s="43"/>
      <c r="L35" s="43"/>
      <c r="M35" s="43"/>
      <c r="N35" s="43"/>
      <c r="O35" s="43"/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/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/>
      <c r="AR35" s="43"/>
      <c r="AS35" s="43"/>
      <c r="AT35" s="43"/>
      <c r="AU35" s="43"/>
      <c r="AV35" s="43"/>
      <c r="AW35" s="43"/>
      <c r="AX35" s="43"/>
      <c r="AY35" s="43"/>
      <c r="AZ35" s="43"/>
      <c r="BA35" s="43"/>
      <c r="BB35" s="43"/>
      <c r="BC35" s="43"/>
      <c r="BD35" s="43"/>
      <c r="BE35" s="43"/>
      <c r="BF35" s="43"/>
      <c r="BG35" s="43"/>
      <c r="BH35" s="43"/>
      <c r="BI35" s="43"/>
      <c r="BJ35" s="43"/>
      <c r="BK35" s="43"/>
      <c r="BL35" s="43"/>
      <c r="BM35" s="43"/>
      <c r="BN35" s="43"/>
      <c r="BO35" s="43"/>
      <c r="BP35" s="43"/>
      <c r="BQ35" s="43"/>
      <c r="BR35" s="43"/>
      <c r="BS35" s="43"/>
      <c r="BT35" s="43"/>
      <c r="BU35" s="43"/>
      <c r="BV35" s="43"/>
      <c r="BW35" s="43"/>
      <c r="BX35" s="43"/>
      <c r="BY35" s="43"/>
      <c r="BZ35" s="43"/>
      <c r="CA35" s="42"/>
      <c r="CB35" s="41"/>
      <c r="CC35" s="41"/>
      <c r="CD35" s="41"/>
      <c r="CE35" s="41"/>
      <c r="CF35" s="41"/>
      <c r="CG35" s="41"/>
      <c r="CH35" s="41"/>
      <c r="CI35" s="41"/>
      <c r="CJ35" s="41"/>
      <c r="CK35" s="41"/>
      <c r="CL35" s="43"/>
      <c r="CM35" s="43"/>
      <c r="CN35" s="43"/>
      <c r="CO35" s="41"/>
      <c r="CP35" s="41"/>
      <c r="CQ35" s="41"/>
      <c r="CR35" s="41"/>
      <c r="CS35" s="41"/>
      <c r="CT35" s="39"/>
      <c r="CU35" s="45"/>
      <c r="CV35" s="45"/>
      <c r="CW35" s="45"/>
      <c r="CX35" s="45"/>
      <c r="CY35" s="45"/>
      <c r="CZ35" s="45"/>
      <c r="DA35" s="45"/>
      <c r="DB35" s="45"/>
      <c r="DC35" s="45"/>
      <c r="DD35" s="45"/>
      <c r="DE35" s="45"/>
      <c r="DF35" s="45"/>
      <c r="DG35" s="45"/>
      <c r="DH35" s="45"/>
      <c r="DI35" s="39"/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  <c r="EP35" s="39"/>
      <c r="EQ35" s="39"/>
      <c r="ER35" s="39"/>
      <c r="ES35" s="39"/>
    </row>
    <row r="36" spans="1:149" ht="13" customHeight="1">
      <c r="A36" s="40"/>
      <c r="B36" s="46" t="s">
        <v>26</v>
      </c>
      <c r="C36" s="44">
        <v>1440</v>
      </c>
      <c r="D36" s="44">
        <v>1648</v>
      </c>
      <c r="E36" s="44">
        <v>1534</v>
      </c>
      <c r="F36" s="44">
        <v>1774</v>
      </c>
      <c r="G36" s="43">
        <v>1805</v>
      </c>
      <c r="H36" s="43">
        <v>1874</v>
      </c>
      <c r="I36" s="43">
        <v>1651</v>
      </c>
      <c r="J36" s="43">
        <f>7072-I36-H36-G36</f>
        <v>1742</v>
      </c>
      <c r="K36" s="43">
        <v>1914</v>
      </c>
      <c r="L36" s="43">
        <v>2155</v>
      </c>
      <c r="M36" s="43">
        <v>1965</v>
      </c>
      <c r="N36" s="43">
        <f>8030-M36-L36-K36</f>
        <v>1996</v>
      </c>
      <c r="O36" s="43">
        <v>2032</v>
      </c>
      <c r="P36" s="43"/>
      <c r="Q36" s="43"/>
      <c r="R36" s="43"/>
      <c r="S36" s="43"/>
      <c r="T36" s="43"/>
      <c r="U36" s="43"/>
      <c r="V36" s="43"/>
      <c r="W36" s="43">
        <v>2027</v>
      </c>
      <c r="X36" s="43">
        <v>2542</v>
      </c>
      <c r="Y36" s="43">
        <v>2428</v>
      </c>
      <c r="Z36" s="43">
        <v>2259</v>
      </c>
      <c r="AA36" s="43">
        <v>2247</v>
      </c>
      <c r="AB36" s="43">
        <f>4539-AA36</f>
        <v>2292</v>
      </c>
      <c r="AC36" s="43"/>
      <c r="AD36" s="43"/>
      <c r="AE36" s="43">
        <v>2734</v>
      </c>
      <c r="AF36" s="43">
        <v>2757</v>
      </c>
      <c r="AG36" s="43">
        <v>2371</v>
      </c>
      <c r="AH36" s="43">
        <v>2785</v>
      </c>
      <c r="AI36" s="43">
        <v>2836</v>
      </c>
      <c r="AJ36" s="43">
        <v>2530</v>
      </c>
      <c r="AK36" s="43">
        <v>2285</v>
      </c>
      <c r="AL36" s="43">
        <v>2821</v>
      </c>
      <c r="AM36" s="43"/>
      <c r="AN36" s="43"/>
      <c r="AO36" s="43"/>
      <c r="AP36" s="43"/>
      <c r="AQ36" s="43">
        <v>2154</v>
      </c>
      <c r="AR36" s="43">
        <v>1886</v>
      </c>
      <c r="AS36" s="43">
        <v>1885</v>
      </c>
      <c r="AT36" s="43">
        <v>1956</v>
      </c>
      <c r="AU36" s="43">
        <v>2012</v>
      </c>
      <c r="AV36" s="43">
        <v>2163</v>
      </c>
      <c r="AW36" s="43">
        <v>1985</v>
      </c>
      <c r="AX36" s="43">
        <v>1959</v>
      </c>
      <c r="AY36" s="43">
        <v>2181</v>
      </c>
      <c r="AZ36" s="43">
        <v>1828</v>
      </c>
      <c r="BA36" s="43">
        <v>1674</v>
      </c>
      <c r="BB36" s="43">
        <v>1520</v>
      </c>
      <c r="BC36" s="43">
        <v>1980</v>
      </c>
      <c r="BD36" s="43">
        <v>1875</v>
      </c>
      <c r="BE36" s="43">
        <v>1676</v>
      </c>
      <c r="BF36" s="43">
        <v>1690</v>
      </c>
      <c r="BG36" s="43">
        <v>2271</v>
      </c>
      <c r="BH36" s="43">
        <v>2018</v>
      </c>
      <c r="BI36" s="43">
        <v>2108</v>
      </c>
      <c r="BJ36" s="43">
        <v>1911</v>
      </c>
      <c r="BK36" s="43">
        <v>2101</v>
      </c>
      <c r="BL36" s="43">
        <v>1794</v>
      </c>
      <c r="BM36" s="43">
        <v>2078</v>
      </c>
      <c r="BN36" s="43">
        <v>1985</v>
      </c>
      <c r="BO36" s="43">
        <v>1952</v>
      </c>
      <c r="BP36" s="43">
        <v>1802</v>
      </c>
      <c r="BQ36" s="43">
        <v>2003</v>
      </c>
      <c r="BR36" s="43">
        <f t="shared" ref="BR36:BV36" si="62">+BQ36</f>
        <v>2003</v>
      </c>
      <c r="BS36" s="43">
        <v>1879</v>
      </c>
      <c r="BT36" s="43">
        <v>1991</v>
      </c>
      <c r="BU36" s="43">
        <v>1653</v>
      </c>
      <c r="BV36" s="43">
        <f t="shared" si="62"/>
        <v>1653</v>
      </c>
      <c r="BW36" s="43"/>
      <c r="BX36" s="43"/>
      <c r="BY36" s="43"/>
      <c r="BZ36" s="43"/>
      <c r="CA36" s="42"/>
      <c r="CB36" s="41"/>
      <c r="CC36" s="41"/>
      <c r="CD36" s="41"/>
      <c r="CE36" s="41"/>
      <c r="CF36" s="41"/>
      <c r="CG36" s="41"/>
      <c r="CH36" s="41"/>
      <c r="CI36" s="41"/>
      <c r="CJ36" s="41"/>
      <c r="CK36" s="41"/>
      <c r="CL36" s="43">
        <f t="shared" si="31"/>
        <v>6396</v>
      </c>
      <c r="CM36" s="43">
        <f t="shared" si="52"/>
        <v>7072</v>
      </c>
      <c r="CN36" s="43">
        <f>SUM(K36:N36)</f>
        <v>8030</v>
      </c>
      <c r="CO36" s="43">
        <v>8347</v>
      </c>
      <c r="CP36" s="43">
        <v>8933</v>
      </c>
      <c r="CQ36" s="41"/>
      <c r="CR36" s="41"/>
      <c r="CS36" s="41"/>
      <c r="CT36" s="39"/>
      <c r="CU36" s="45"/>
      <c r="CV36" s="45"/>
      <c r="CW36" s="45"/>
      <c r="CX36" s="45">
        <f t="shared" ref="CX36:CX43" si="63">SUM(AY36:BB36)</f>
        <v>7203</v>
      </c>
      <c r="CY36" s="45">
        <f t="shared" ref="CY36:CY50" si="64">SUM(BC36:BF36)</f>
        <v>7221</v>
      </c>
      <c r="CZ36" s="45">
        <f t="shared" ref="CZ36:CZ50" si="65">SUM(BG36:BJ36)</f>
        <v>8308</v>
      </c>
      <c r="DA36" s="45">
        <f t="shared" ref="DA36:DA45" si="66">SUM(BK36:BN36)</f>
        <v>7958</v>
      </c>
      <c r="DB36" s="45">
        <f t="shared" si="47"/>
        <v>7760</v>
      </c>
      <c r="DC36" s="45">
        <f t="shared" si="20"/>
        <v>7176</v>
      </c>
      <c r="DD36" s="45">
        <f>+DC36*0.95</f>
        <v>6817.2</v>
      </c>
      <c r="DE36" s="45">
        <f t="shared" ref="DE36:DM40" si="67">+DD36*0.95</f>
        <v>6476.3399999999992</v>
      </c>
      <c r="DF36" s="45">
        <f t="shared" si="67"/>
        <v>6152.5229999999992</v>
      </c>
      <c r="DG36" s="45">
        <f t="shared" si="67"/>
        <v>5844.8968499999992</v>
      </c>
      <c r="DH36" s="45">
        <f t="shared" si="67"/>
        <v>5552.6520074999989</v>
      </c>
      <c r="DI36" s="45">
        <f t="shared" si="67"/>
        <v>5275.0194071249989</v>
      </c>
      <c r="DJ36" s="45">
        <f t="shared" si="67"/>
        <v>5011.2684367687489</v>
      </c>
      <c r="DK36" s="45">
        <f t="shared" si="67"/>
        <v>4760.7050149303113</v>
      </c>
      <c r="DL36" s="45">
        <f t="shared" si="67"/>
        <v>4522.6697641837955</v>
      </c>
      <c r="DM36" s="45">
        <f t="shared" si="67"/>
        <v>4296.5362759746058</v>
      </c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  <c r="EP36" s="39"/>
      <c r="EQ36" s="39"/>
      <c r="ER36" s="39"/>
      <c r="ES36" s="39"/>
    </row>
    <row r="37" spans="1:149" ht="13" customHeight="1">
      <c r="A37" s="40"/>
      <c r="B37" s="46" t="s">
        <v>179</v>
      </c>
      <c r="C37" s="44"/>
      <c r="D37" s="44"/>
      <c r="E37" s="44"/>
      <c r="F37" s="44"/>
      <c r="G37" s="43"/>
      <c r="H37" s="43"/>
      <c r="I37" s="43"/>
      <c r="J37" s="43"/>
      <c r="K37" s="43"/>
      <c r="L37" s="43"/>
      <c r="M37" s="43"/>
      <c r="N37" s="43"/>
      <c r="O37" s="43"/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/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/>
      <c r="AR37" s="43"/>
      <c r="AS37" s="43"/>
      <c r="AT37" s="43"/>
      <c r="AU37" s="43"/>
      <c r="AV37" s="43"/>
      <c r="AW37" s="43"/>
      <c r="AX37" s="43"/>
      <c r="AY37" s="43"/>
      <c r="AZ37" s="43"/>
      <c r="BA37" s="43"/>
      <c r="BC37" s="43">
        <v>497</v>
      </c>
      <c r="BD37" s="43">
        <v>623</v>
      </c>
      <c r="BE37" s="43">
        <v>411</v>
      </c>
      <c r="BF37" s="43">
        <v>581</v>
      </c>
      <c r="BG37" s="43">
        <v>565</v>
      </c>
      <c r="BH37" s="43">
        <v>619</v>
      </c>
      <c r="BI37" s="43">
        <v>512</v>
      </c>
      <c r="BJ37" s="43">
        <v>642</v>
      </c>
      <c r="BK37" s="43">
        <v>660</v>
      </c>
      <c r="BL37" s="43">
        <v>688</v>
      </c>
      <c r="BM37" s="43">
        <v>549</v>
      </c>
      <c r="BN37" s="43">
        <v>525</v>
      </c>
      <c r="BO37" s="43">
        <v>603</v>
      </c>
      <c r="BP37" s="43">
        <v>613</v>
      </c>
      <c r="BQ37" s="43">
        <v>568</v>
      </c>
      <c r="BR37" s="43">
        <v>670</v>
      </c>
      <c r="BS37" s="43">
        <v>554</v>
      </c>
      <c r="BT37" s="43">
        <v>584</v>
      </c>
      <c r="BU37" s="43">
        <v>638</v>
      </c>
      <c r="BV37" s="43">
        <f t="shared" ref="BV37" si="68">+BU37</f>
        <v>638</v>
      </c>
      <c r="BW37" s="43"/>
      <c r="BX37" s="43"/>
      <c r="BY37" s="43"/>
      <c r="BZ37" s="43"/>
      <c r="CA37" s="42"/>
      <c r="CB37" s="41"/>
      <c r="CC37" s="41"/>
      <c r="CD37" s="41"/>
      <c r="CE37" s="41"/>
      <c r="CF37" s="41"/>
      <c r="CG37" s="41"/>
      <c r="CH37" s="41"/>
      <c r="CI37" s="41"/>
      <c r="CJ37" s="41"/>
      <c r="CK37" s="41"/>
      <c r="CL37" s="43"/>
      <c r="CM37" s="43"/>
      <c r="CN37" s="43"/>
      <c r="CO37" s="41"/>
      <c r="CP37" s="41"/>
      <c r="CQ37" s="41"/>
      <c r="CR37" s="41"/>
      <c r="CS37" s="41"/>
      <c r="CT37" s="39"/>
      <c r="CU37" s="45"/>
      <c r="CV37" s="45"/>
      <c r="CW37" s="45"/>
      <c r="CX37" s="45">
        <f t="shared" si="63"/>
        <v>0</v>
      </c>
      <c r="CY37" s="45">
        <f t="shared" si="64"/>
        <v>2112</v>
      </c>
      <c r="CZ37" s="45">
        <f t="shared" si="65"/>
        <v>2338</v>
      </c>
      <c r="DA37" s="45">
        <f t="shared" si="66"/>
        <v>2422</v>
      </c>
      <c r="DB37" s="45">
        <f t="shared" si="47"/>
        <v>2454</v>
      </c>
      <c r="DC37" s="45">
        <f t="shared" si="20"/>
        <v>2414</v>
      </c>
      <c r="DD37" s="45">
        <f>+DC37*0.95</f>
        <v>2293.2999999999997</v>
      </c>
      <c r="DE37" s="45">
        <f t="shared" si="67"/>
        <v>2178.6349999999998</v>
      </c>
      <c r="DF37" s="45">
        <f t="shared" si="67"/>
        <v>2069.7032499999996</v>
      </c>
      <c r="DG37" s="45">
        <f t="shared" si="67"/>
        <v>1966.2180874999995</v>
      </c>
      <c r="DH37" s="45">
        <f t="shared" si="67"/>
        <v>1867.9071831249994</v>
      </c>
      <c r="DI37" s="45">
        <f t="shared" si="67"/>
        <v>1774.5118239687492</v>
      </c>
      <c r="DJ37" s="45">
        <f t="shared" si="67"/>
        <v>1685.7862327703117</v>
      </c>
      <c r="DK37" s="45">
        <f t="shared" si="67"/>
        <v>1601.4969211317959</v>
      </c>
      <c r="DL37" s="45">
        <f t="shared" si="67"/>
        <v>1521.4220750752061</v>
      </c>
      <c r="DM37" s="45">
        <f t="shared" si="67"/>
        <v>1445.3509713214457</v>
      </c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  <c r="EP37" s="39"/>
      <c r="EQ37" s="39"/>
      <c r="ER37" s="39"/>
      <c r="ES37" s="39"/>
    </row>
    <row r="38" spans="1:149" ht="13" customHeight="1">
      <c r="A38" s="40"/>
      <c r="B38" s="46" t="s">
        <v>180</v>
      </c>
      <c r="C38" s="44"/>
      <c r="D38" s="44"/>
      <c r="E38" s="44"/>
      <c r="F38" s="44"/>
      <c r="G38" s="43"/>
      <c r="H38" s="43"/>
      <c r="I38" s="43"/>
      <c r="J38" s="43"/>
      <c r="K38" s="43"/>
      <c r="L38" s="43"/>
      <c r="M38" s="43"/>
      <c r="N38" s="43"/>
      <c r="O38" s="43"/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/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296</v>
      </c>
      <c r="AR38" s="43">
        <v>339</v>
      </c>
      <c r="AS38" s="43">
        <v>323</v>
      </c>
      <c r="AT38" s="43">
        <v>396</v>
      </c>
      <c r="AU38" s="43">
        <v>393</v>
      </c>
      <c r="AV38" s="43">
        <v>369</v>
      </c>
      <c r="AW38" s="43">
        <v>357</v>
      </c>
      <c r="AX38" s="43">
        <v>406</v>
      </c>
      <c r="AY38" s="43">
        <v>400</v>
      </c>
      <c r="AZ38" s="43">
        <v>340</v>
      </c>
      <c r="BA38" s="43">
        <v>375</v>
      </c>
      <c r="BB38" s="43">
        <v>347</v>
      </c>
      <c r="BC38" s="43">
        <v>147</v>
      </c>
      <c r="BD38" s="43">
        <v>162</v>
      </c>
      <c r="BE38" s="43">
        <v>166</v>
      </c>
      <c r="BF38" s="43">
        <v>162</v>
      </c>
      <c r="BG38" s="43">
        <v>177</v>
      </c>
      <c r="BH38" s="43">
        <v>162</v>
      </c>
      <c r="BI38" s="43">
        <v>194</v>
      </c>
      <c r="BJ38" s="43">
        <v>226</v>
      </c>
      <c r="BK38" s="43">
        <v>197</v>
      </c>
      <c r="BL38" s="43">
        <v>250</v>
      </c>
      <c r="BM38" s="43">
        <v>285</v>
      </c>
      <c r="BN38" s="43">
        <v>329</v>
      </c>
      <c r="BO38" s="43">
        <v>262</v>
      </c>
      <c r="BP38" s="43">
        <v>361</v>
      </c>
      <c r="BQ38" s="43">
        <v>305</v>
      </c>
      <c r="BR38" s="43">
        <v>378</v>
      </c>
      <c r="BS38" s="43">
        <v>342</v>
      </c>
      <c r="BT38" s="43">
        <v>338</v>
      </c>
      <c r="BU38" s="43">
        <v>376</v>
      </c>
      <c r="BV38" s="43">
        <f t="shared" ref="BV38:BV40" si="69">+BU38</f>
        <v>376</v>
      </c>
      <c r="BW38" s="43"/>
      <c r="BX38" s="43"/>
      <c r="BY38" s="43"/>
      <c r="BZ38" s="43"/>
      <c r="CA38" s="42"/>
      <c r="CB38" s="41"/>
      <c r="CC38" s="41"/>
      <c r="CD38" s="41"/>
      <c r="CE38" s="41"/>
      <c r="CF38" s="41"/>
      <c r="CG38" s="41"/>
      <c r="CH38" s="41"/>
      <c r="CI38" s="41"/>
      <c r="CJ38" s="41"/>
      <c r="CK38" s="41"/>
      <c r="CL38" s="43"/>
      <c r="CM38" s="43"/>
      <c r="CN38" s="43"/>
      <c r="CO38" s="41"/>
      <c r="CP38" s="41"/>
      <c r="CQ38" s="41"/>
      <c r="CR38" s="41"/>
      <c r="CS38" s="41"/>
      <c r="CT38" s="39"/>
      <c r="CU38" s="45"/>
      <c r="CV38" s="45"/>
      <c r="CW38" s="45"/>
      <c r="CX38" s="45">
        <f t="shared" si="63"/>
        <v>1462</v>
      </c>
      <c r="CY38" s="45">
        <f t="shared" si="64"/>
        <v>637</v>
      </c>
      <c r="CZ38" s="45">
        <f t="shared" si="65"/>
        <v>759</v>
      </c>
      <c r="DA38" s="45">
        <f t="shared" si="66"/>
        <v>1061</v>
      </c>
      <c r="DB38" s="45">
        <f t="shared" si="47"/>
        <v>1306</v>
      </c>
      <c r="DC38" s="45">
        <f t="shared" si="20"/>
        <v>1432</v>
      </c>
      <c r="DD38" s="45">
        <f>+DC38*0.95</f>
        <v>1360.3999999999999</v>
      </c>
      <c r="DE38" s="45">
        <f t="shared" si="67"/>
        <v>1292.3799999999999</v>
      </c>
      <c r="DF38" s="45">
        <f t="shared" si="67"/>
        <v>1227.7609999999997</v>
      </c>
      <c r="DG38" s="45">
        <f t="shared" si="67"/>
        <v>1166.3729499999997</v>
      </c>
      <c r="DH38" s="45">
        <f t="shared" si="67"/>
        <v>1108.0543024999997</v>
      </c>
      <c r="DI38" s="45">
        <f t="shared" si="67"/>
        <v>1052.6515873749997</v>
      </c>
      <c r="DJ38" s="45">
        <f t="shared" si="67"/>
        <v>1000.0190080062497</v>
      </c>
      <c r="DK38" s="45">
        <f t="shared" si="67"/>
        <v>950.0180576059372</v>
      </c>
      <c r="DL38" s="45">
        <f t="shared" si="67"/>
        <v>902.51715472564035</v>
      </c>
      <c r="DM38" s="45">
        <f t="shared" si="67"/>
        <v>857.39129698935824</v>
      </c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  <c r="EP38" s="39"/>
      <c r="EQ38" s="39"/>
      <c r="ER38" s="39"/>
      <c r="ES38" s="39"/>
    </row>
    <row r="39" spans="1:149" ht="13" customHeight="1">
      <c r="A39" s="40"/>
      <c r="B39" s="46" t="s">
        <v>181</v>
      </c>
      <c r="C39" s="44"/>
      <c r="D39" s="44"/>
      <c r="E39" s="44"/>
      <c r="F39" s="44"/>
      <c r="G39" s="43"/>
      <c r="H39" s="43"/>
      <c r="I39" s="43"/>
      <c r="J39" s="43"/>
      <c r="K39" s="43"/>
      <c r="L39" s="43"/>
      <c r="M39" s="43"/>
      <c r="N39" s="43"/>
      <c r="O39" s="43"/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/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338</v>
      </c>
      <c r="AR39" s="43">
        <v>377</v>
      </c>
      <c r="AS39" s="43">
        <v>407</v>
      </c>
      <c r="AT39" s="43">
        <v>395</v>
      </c>
      <c r="AU39" s="43">
        <v>385</v>
      </c>
      <c r="AV39" s="43">
        <v>372</v>
      </c>
      <c r="AW39" s="43">
        <v>411</v>
      </c>
      <c r="AX39" s="43">
        <v>457</v>
      </c>
      <c r="AY39" s="43">
        <f>2810-AY38-AY36</f>
        <v>229</v>
      </c>
      <c r="AZ39" s="43">
        <f>2401-AZ36-AZ38</f>
        <v>233</v>
      </c>
      <c r="BA39" s="43">
        <f>2311-BA36-BA38</f>
        <v>262</v>
      </c>
      <c r="BB39" s="43">
        <f>2140-BB38-BB36</f>
        <v>273</v>
      </c>
      <c r="BC39" s="43">
        <f>2678-SUM(BC36:BC38)</f>
        <v>54</v>
      </c>
      <c r="BD39" s="43">
        <f>2723-BD38-BD37-BD36</f>
        <v>63</v>
      </c>
      <c r="BE39" s="43">
        <f>2326-BE38-BE37-BE36</f>
        <v>73</v>
      </c>
      <c r="BF39" s="43">
        <f>2490-BF38-BF37-BF36</f>
        <v>57</v>
      </c>
      <c r="BG39" s="43">
        <f>3077-SUM(BG36:BG38)</f>
        <v>64</v>
      </c>
      <c r="BH39" s="43">
        <f>2863-BH38-BH37-BH36</f>
        <v>64</v>
      </c>
      <c r="BI39" s="43">
        <f>2885-BI38-BI37-BI36</f>
        <v>71</v>
      </c>
      <c r="BJ39" s="43">
        <f>2881-BJ38-BJ37-BJ36</f>
        <v>102</v>
      </c>
      <c r="BK39" s="43">
        <f>3049-BK38-BK37-BK36</f>
        <v>91</v>
      </c>
      <c r="BL39" s="43">
        <f>2836-BL38-BL37-BL36</f>
        <v>104</v>
      </c>
      <c r="BM39" s="43">
        <f>2957-BM38-BM37-BM36</f>
        <v>45</v>
      </c>
      <c r="BN39" s="43">
        <f>2934-BN38-BN37-BN36</f>
        <v>95</v>
      </c>
      <c r="BO39" s="43">
        <f>4384-BO40-BO38-BO37-BO36</f>
        <v>71</v>
      </c>
      <c r="BP39" s="43">
        <f>3976-BP40-BP38-BP37-BP36</f>
        <v>88</v>
      </c>
      <c r="BQ39" s="43">
        <f>4574-BQ40-BQ38-BQ37-BQ36</f>
        <v>112</v>
      </c>
      <c r="BR39" s="43">
        <f>5705-BR40-BR38-BR37-BR36</f>
        <v>347</v>
      </c>
      <c r="BS39" s="43">
        <v>386</v>
      </c>
      <c r="BT39" s="43">
        <f>3096-BT38-BT37-BT36</f>
        <v>183</v>
      </c>
      <c r="BU39" s="43">
        <f>2919-BU38-BU37-BU36</f>
        <v>252</v>
      </c>
      <c r="BV39" s="43">
        <f t="shared" si="69"/>
        <v>252</v>
      </c>
      <c r="BW39" s="43"/>
      <c r="BX39" s="43"/>
      <c r="BY39" s="43"/>
      <c r="BZ39" s="43"/>
      <c r="CA39" s="42"/>
      <c r="CB39" s="41"/>
      <c r="CC39" s="41"/>
      <c r="CD39" s="41"/>
      <c r="CE39" s="41"/>
      <c r="CF39" s="41"/>
      <c r="CG39" s="41"/>
      <c r="CH39" s="41"/>
      <c r="CI39" s="41"/>
      <c r="CJ39" s="41"/>
      <c r="CK39" s="41"/>
      <c r="CL39" s="43"/>
      <c r="CM39" s="43"/>
      <c r="CN39" s="43"/>
      <c r="CO39" s="41"/>
      <c r="CP39" s="41"/>
      <c r="CQ39" s="41"/>
      <c r="CR39" s="41"/>
      <c r="CS39" s="41"/>
      <c r="CT39" s="39"/>
      <c r="CU39" s="45"/>
      <c r="CV39" s="45"/>
      <c r="CW39" s="45"/>
      <c r="CX39" s="45">
        <f t="shared" si="63"/>
        <v>997</v>
      </c>
      <c r="CY39" s="45">
        <f t="shared" si="64"/>
        <v>247</v>
      </c>
      <c r="CZ39" s="45">
        <f t="shared" si="65"/>
        <v>301</v>
      </c>
      <c r="DA39" s="45">
        <f t="shared" si="66"/>
        <v>335</v>
      </c>
      <c r="DB39" s="45">
        <f t="shared" si="47"/>
        <v>618</v>
      </c>
      <c r="DC39" s="45">
        <f t="shared" si="20"/>
        <v>1073</v>
      </c>
      <c r="DD39" s="45">
        <f>+DC39*0.95</f>
        <v>1019.3499999999999</v>
      </c>
      <c r="DE39" s="45">
        <f t="shared" si="67"/>
        <v>968.38249999999982</v>
      </c>
      <c r="DF39" s="45">
        <f t="shared" si="67"/>
        <v>919.96337499999981</v>
      </c>
      <c r="DG39" s="45">
        <f t="shared" si="67"/>
        <v>873.96520624999982</v>
      </c>
      <c r="DH39" s="45">
        <f t="shared" si="67"/>
        <v>830.26694593749983</v>
      </c>
      <c r="DI39" s="45">
        <f t="shared" si="67"/>
        <v>788.75359864062477</v>
      </c>
      <c r="DJ39" s="45">
        <f t="shared" si="67"/>
        <v>749.31591870859347</v>
      </c>
      <c r="DK39" s="45">
        <f t="shared" si="67"/>
        <v>711.85012277316378</v>
      </c>
      <c r="DL39" s="45">
        <f t="shared" si="67"/>
        <v>676.25761663450555</v>
      </c>
      <c r="DM39" s="45">
        <f t="shared" si="67"/>
        <v>642.4447358027802</v>
      </c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  <c r="EP39" s="39"/>
      <c r="EQ39" s="39"/>
      <c r="ER39" s="39"/>
      <c r="ES39" s="39"/>
    </row>
    <row r="40" spans="1:149" ht="13" customHeight="1">
      <c r="A40" s="40"/>
      <c r="B40" s="46" t="s">
        <v>182</v>
      </c>
      <c r="C40" s="44"/>
      <c r="D40" s="44"/>
      <c r="E40" s="44"/>
      <c r="F40" s="44"/>
      <c r="G40" s="43"/>
      <c r="H40" s="43"/>
      <c r="I40" s="43"/>
      <c r="J40" s="43"/>
      <c r="K40" s="43"/>
      <c r="L40" s="43"/>
      <c r="M40" s="43"/>
      <c r="N40" s="43"/>
      <c r="O40" s="43"/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/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>1481+2503-AQ36-AQ38</f>
        <v>1534</v>
      </c>
      <c r="AR40" s="43">
        <f>1703+2294-AR36-AR38</f>
        <v>1772</v>
      </c>
      <c r="AS40" s="43">
        <f>1688+2301-AS36-AS38</f>
        <v>1781</v>
      </c>
      <c r="AT40" s="43">
        <f>1962+2478-AT36-AT38</f>
        <v>2088</v>
      </c>
      <c r="AU40" s="43">
        <f>1555+2533-AU36-AU38</f>
        <v>1683</v>
      </c>
      <c r="AV40" s="43">
        <f>1758+2670-AV36-AV38</f>
        <v>1896</v>
      </c>
      <c r="AW40" s="43">
        <f>1886+2524-AW36-AW38</f>
        <v>2068</v>
      </c>
      <c r="AX40" s="43">
        <f>2076+2554-AX36-AX38</f>
        <v>2265</v>
      </c>
      <c r="AY40" s="43">
        <f>444+2030</f>
        <v>2474</v>
      </c>
      <c r="AZ40" s="43">
        <f>337+1952</f>
        <v>2289</v>
      </c>
      <c r="BA40" s="43">
        <f>1890+380</f>
        <v>2270</v>
      </c>
      <c r="BB40" s="43">
        <f>1832+399</f>
        <v>2231</v>
      </c>
      <c r="BC40" s="43">
        <f>1920+379</f>
        <v>2299</v>
      </c>
      <c r="BD40" s="43">
        <f>424+1859</f>
        <v>2283</v>
      </c>
      <c r="BE40" s="43">
        <f>376+1805</f>
        <v>2181</v>
      </c>
      <c r="BF40" s="43">
        <f>1719+504</f>
        <v>2223</v>
      </c>
      <c r="BG40" s="43">
        <f>1820+466</f>
        <v>2286</v>
      </c>
      <c r="BH40" s="43">
        <f>1923+432</f>
        <v>2355</v>
      </c>
      <c r="BI40" s="43">
        <f>430+1793</f>
        <v>2223</v>
      </c>
      <c r="BJ40" s="43">
        <f>370+1602</f>
        <v>1972</v>
      </c>
      <c r="BK40" s="43">
        <f>399+1128</f>
        <v>1527</v>
      </c>
      <c r="BL40" s="43">
        <f>902+376</f>
        <v>1278</v>
      </c>
      <c r="BM40" s="43">
        <f>542+403</f>
        <v>945</v>
      </c>
      <c r="BN40" s="43">
        <f>1264+373</f>
        <v>1637</v>
      </c>
      <c r="BO40" s="43">
        <f>1113+383</f>
        <v>1496</v>
      </c>
      <c r="BP40" s="43">
        <f>730+382</f>
        <v>1112</v>
      </c>
      <c r="BQ40" s="43">
        <f>1227+359</f>
        <v>1586</v>
      </c>
      <c r="BR40" s="43">
        <f>384+1923</f>
        <v>2307</v>
      </c>
      <c r="BS40" s="43">
        <f>1312+2921-BS36-BS37-BS38</f>
        <v>1458</v>
      </c>
      <c r="BT40" s="43">
        <f>1420+403</f>
        <v>1823</v>
      </c>
      <c r="BU40" s="43">
        <f>1393+409</f>
        <v>1802</v>
      </c>
      <c r="BV40" s="43">
        <f t="shared" si="69"/>
        <v>1802</v>
      </c>
      <c r="BW40" s="43"/>
      <c r="BX40" s="43"/>
      <c r="BY40" s="43"/>
      <c r="BZ40" s="43"/>
      <c r="CA40" s="42"/>
      <c r="CB40" s="41"/>
      <c r="CC40" s="41"/>
      <c r="CD40" s="41"/>
      <c r="CE40" s="41"/>
      <c r="CF40" s="41"/>
      <c r="CG40" s="41"/>
      <c r="CH40" s="41"/>
      <c r="CI40" s="41"/>
      <c r="CJ40" s="41"/>
      <c r="CK40" s="41"/>
      <c r="CL40" s="43"/>
      <c r="CM40" s="43"/>
      <c r="CN40" s="43"/>
      <c r="CO40" s="41"/>
      <c r="CP40" s="41"/>
      <c r="CQ40" s="41"/>
      <c r="CR40" s="41"/>
      <c r="CS40" s="41"/>
      <c r="CT40" s="39"/>
      <c r="CU40" s="45"/>
      <c r="CV40" s="45"/>
      <c r="CW40" s="45"/>
      <c r="CX40" s="45">
        <f t="shared" si="63"/>
        <v>9264</v>
      </c>
      <c r="CY40" s="45">
        <f t="shared" si="64"/>
        <v>8986</v>
      </c>
      <c r="CZ40" s="45">
        <f t="shared" si="65"/>
        <v>8836</v>
      </c>
      <c r="DA40" s="45">
        <f t="shared" si="66"/>
        <v>5387</v>
      </c>
      <c r="DB40" s="45">
        <f t="shared" si="47"/>
        <v>6501</v>
      </c>
      <c r="DC40" s="45">
        <f t="shared" si="20"/>
        <v>6885</v>
      </c>
      <c r="DD40" s="45">
        <f>+DC40*0.95</f>
        <v>6540.75</v>
      </c>
      <c r="DE40" s="45">
        <f t="shared" si="67"/>
        <v>6213.7124999999996</v>
      </c>
      <c r="DF40" s="45">
        <f t="shared" si="67"/>
        <v>5903.0268749999996</v>
      </c>
      <c r="DG40" s="45">
        <f t="shared" si="67"/>
        <v>5607.8755312499998</v>
      </c>
      <c r="DH40" s="45">
        <f t="shared" si="67"/>
        <v>5327.4817546874992</v>
      </c>
      <c r="DI40" s="45">
        <f t="shared" si="67"/>
        <v>5061.107666953124</v>
      </c>
      <c r="DJ40" s="45">
        <f t="shared" si="67"/>
        <v>4808.0522836054679</v>
      </c>
      <c r="DK40" s="45">
        <f t="shared" si="67"/>
        <v>4567.6496694251946</v>
      </c>
      <c r="DL40" s="45">
        <f t="shared" si="67"/>
        <v>4339.267185953935</v>
      </c>
      <c r="DM40" s="45">
        <f t="shared" si="67"/>
        <v>4122.303826656238</v>
      </c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  <c r="EP40" s="39"/>
      <c r="EQ40" s="39"/>
      <c r="ER40" s="39"/>
      <c r="ES40" s="39"/>
    </row>
    <row r="41" spans="1:149" ht="13" customHeight="1">
      <c r="A41" s="40"/>
      <c r="B41" s="46" t="s">
        <v>23</v>
      </c>
      <c r="C41" s="44">
        <v>878</v>
      </c>
      <c r="D41" s="44">
        <v>986</v>
      </c>
      <c r="E41" s="44">
        <v>941</v>
      </c>
      <c r="F41" s="44">
        <v>1060</v>
      </c>
      <c r="G41" s="43">
        <v>1034</v>
      </c>
      <c r="H41" s="43">
        <v>1122</v>
      </c>
      <c r="I41" s="43">
        <v>1074</v>
      </c>
      <c r="J41" s="43">
        <f>4401-I41-H41-G41</f>
        <v>1171</v>
      </c>
      <c r="K41" s="43">
        <v>1083</v>
      </c>
      <c r="L41" s="43">
        <v>1245</v>
      </c>
      <c r="M41" s="43">
        <v>1233</v>
      </c>
      <c r="N41" s="43">
        <f>4803-M41-L41-K41</f>
        <v>1242</v>
      </c>
      <c r="O41" s="43">
        <v>1252</v>
      </c>
      <c r="P41" s="43"/>
      <c r="Q41" s="43"/>
      <c r="R41" s="43"/>
      <c r="S41" s="43"/>
      <c r="T41" s="43"/>
      <c r="U41" s="43"/>
      <c r="V41" s="43"/>
      <c r="W41" s="43">
        <v>1537</v>
      </c>
      <c r="X41" s="43">
        <v>1479</v>
      </c>
      <c r="Y41" s="43">
        <v>1436</v>
      </c>
      <c r="Z41" s="43">
        <v>1662</v>
      </c>
      <c r="AA41" s="43">
        <v>1500</v>
      </c>
      <c r="AB41" s="43">
        <f>3009-AA41</f>
        <v>1509</v>
      </c>
      <c r="AC41" s="43"/>
      <c r="AD41" s="43"/>
      <c r="AE41" s="43">
        <v>1830</v>
      </c>
      <c r="AF41" s="43">
        <v>2083</v>
      </c>
      <c r="AG41" s="43">
        <v>1842</v>
      </c>
      <c r="AH41" s="43">
        <v>2065</v>
      </c>
      <c r="AI41" s="43">
        <v>2407</v>
      </c>
      <c r="AJ41" s="43">
        <v>2158</v>
      </c>
      <c r="AK41" s="43">
        <v>2003</v>
      </c>
      <c r="AL41" s="43">
        <v>2202</v>
      </c>
      <c r="AM41" s="43"/>
      <c r="AN41" s="43"/>
      <c r="AO41" s="43"/>
      <c r="AP41" s="43"/>
      <c r="AQ41" s="43"/>
      <c r="AR41" s="43"/>
      <c r="AS41" s="43"/>
      <c r="AT41" s="43"/>
      <c r="AU41" s="43"/>
      <c r="AV41" s="43"/>
      <c r="AW41" s="43"/>
      <c r="AX41" s="43"/>
      <c r="AY41" s="43"/>
      <c r="AZ41" s="43"/>
      <c r="BA41" s="43"/>
      <c r="BB41" s="43"/>
      <c r="BC41" s="43"/>
      <c r="BD41" s="43"/>
      <c r="BE41" s="43"/>
      <c r="BF41" s="43"/>
      <c r="BG41" s="43"/>
      <c r="BH41" s="43"/>
      <c r="BI41" s="43"/>
      <c r="BJ41" s="43"/>
      <c r="BK41" s="43"/>
      <c r="BL41" s="43"/>
      <c r="BM41" s="43"/>
      <c r="BN41" s="43"/>
      <c r="BO41" s="43"/>
      <c r="BP41" s="43"/>
      <c r="BQ41" s="43"/>
      <c r="BR41" s="43"/>
      <c r="BS41" s="43"/>
      <c r="BT41" s="43"/>
      <c r="BU41" s="43"/>
      <c r="BV41" s="43"/>
      <c r="BW41" s="43"/>
      <c r="BX41" s="43"/>
      <c r="BY41" s="43"/>
      <c r="BZ41" s="43"/>
      <c r="CA41" s="42"/>
      <c r="CB41" s="41"/>
      <c r="CC41" s="41"/>
      <c r="CD41" s="41"/>
      <c r="CE41" s="41"/>
      <c r="CF41" s="41"/>
      <c r="CG41" s="41"/>
      <c r="CH41" s="41"/>
      <c r="CI41" s="41"/>
      <c r="CJ41" s="41"/>
      <c r="CK41" s="41"/>
      <c r="CL41" s="43">
        <f t="shared" si="31"/>
        <v>3865</v>
      </c>
      <c r="CM41" s="43">
        <f t="shared" si="52"/>
        <v>4401</v>
      </c>
      <c r="CN41" s="43">
        <f t="shared" ref="CN41:CN43" si="70">SUM(K41:N41)</f>
        <v>4803</v>
      </c>
      <c r="CO41" s="43">
        <v>5047</v>
      </c>
      <c r="CP41" s="43">
        <v>5698</v>
      </c>
      <c r="CQ41" s="41"/>
      <c r="CR41" s="41"/>
      <c r="CS41" s="41"/>
      <c r="CT41" s="39"/>
      <c r="CU41" s="45"/>
      <c r="CV41" s="45"/>
      <c r="CW41" s="45"/>
      <c r="CX41" s="45">
        <f t="shared" si="63"/>
        <v>0</v>
      </c>
      <c r="CY41" s="45">
        <f t="shared" si="64"/>
        <v>0</v>
      </c>
      <c r="CZ41" s="45">
        <f t="shared" si="65"/>
        <v>0</v>
      </c>
      <c r="DA41" s="45">
        <f t="shared" si="66"/>
        <v>0</v>
      </c>
      <c r="DB41" s="45">
        <f t="shared" si="47"/>
        <v>0</v>
      </c>
      <c r="DC41" s="45"/>
      <c r="DD41" s="45"/>
      <c r="DE41" s="45"/>
      <c r="DF41" s="45"/>
      <c r="DG41" s="45"/>
      <c r="DH41" s="45"/>
      <c r="DI41" s="39"/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  <c r="EP41" s="39"/>
      <c r="EQ41" s="39"/>
      <c r="ER41" s="39"/>
      <c r="ES41" s="39"/>
    </row>
    <row r="42" spans="1:149" ht="13" customHeight="1">
      <c r="A42" s="40"/>
      <c r="B42" s="46" t="s">
        <v>131</v>
      </c>
      <c r="C42" s="44">
        <v>385</v>
      </c>
      <c r="D42" s="44">
        <v>391</v>
      </c>
      <c r="E42" s="44">
        <v>394</v>
      </c>
      <c r="F42" s="44">
        <v>442</v>
      </c>
      <c r="G42" s="43">
        <v>409</v>
      </c>
      <c r="H42" s="43">
        <v>435</v>
      </c>
      <c r="I42" s="43">
        <v>440</v>
      </c>
      <c r="J42" s="43">
        <f>2103-I42-H42-G42-SUM(G43:I43)</f>
        <v>545</v>
      </c>
      <c r="K42" s="43">
        <v>443</v>
      </c>
      <c r="L42" s="43">
        <v>450</v>
      </c>
      <c r="M42" s="43">
        <v>517</v>
      </c>
      <c r="N42" s="43">
        <v>482</v>
      </c>
      <c r="O42" s="43">
        <v>601</v>
      </c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/>
      <c r="BY42" s="43"/>
      <c r="BZ42" s="43"/>
      <c r="CA42" s="42"/>
      <c r="CB42" s="41"/>
      <c r="CC42" s="41"/>
      <c r="CD42" s="41"/>
      <c r="CE42" s="41"/>
      <c r="CF42" s="41"/>
      <c r="CG42" s="41"/>
      <c r="CH42" s="41"/>
      <c r="CI42" s="41"/>
      <c r="CJ42" s="41"/>
      <c r="CK42" s="41"/>
      <c r="CL42" s="43">
        <f t="shared" si="31"/>
        <v>1612</v>
      </c>
      <c r="CM42" s="43">
        <v>1744</v>
      </c>
      <c r="CN42" s="43">
        <f t="shared" si="70"/>
        <v>1892</v>
      </c>
      <c r="CO42" s="43">
        <v>2054</v>
      </c>
      <c r="CP42" s="43">
        <v>2163</v>
      </c>
      <c r="CQ42" s="41"/>
      <c r="CR42" s="41"/>
      <c r="CS42" s="41"/>
      <c r="CT42" s="39"/>
      <c r="CU42" s="45"/>
      <c r="CV42" s="45"/>
      <c r="CW42" s="45"/>
      <c r="CX42" s="45">
        <f t="shared" si="63"/>
        <v>0</v>
      </c>
      <c r="CY42" s="45">
        <f t="shared" si="64"/>
        <v>0</v>
      </c>
      <c r="CZ42" s="45">
        <f t="shared" si="65"/>
        <v>0</v>
      </c>
      <c r="DA42" s="45">
        <f t="shared" si="66"/>
        <v>0</v>
      </c>
      <c r="DB42" s="45">
        <f t="shared" si="47"/>
        <v>0</v>
      </c>
      <c r="DC42" s="45"/>
      <c r="DD42" s="45"/>
      <c r="DE42" s="45"/>
      <c r="DF42" s="45"/>
      <c r="DG42" s="45"/>
      <c r="DH42" s="45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  <c r="EP42" s="39"/>
      <c r="EQ42" s="39"/>
      <c r="ER42" s="39"/>
      <c r="ES42" s="39"/>
    </row>
    <row r="43" spans="1:149" ht="13" customHeight="1">
      <c r="A43" s="40"/>
      <c r="B43" s="46" t="s">
        <v>132</v>
      </c>
      <c r="C43" s="44">
        <v>68</v>
      </c>
      <c r="D43" s="44">
        <v>78</v>
      </c>
      <c r="E43" s="44">
        <v>71</v>
      </c>
      <c r="F43" s="44">
        <v>107</v>
      </c>
      <c r="G43" s="43">
        <v>81</v>
      </c>
      <c r="H43" s="43">
        <v>110</v>
      </c>
      <c r="I43" s="43">
        <v>83</v>
      </c>
      <c r="J43" s="43"/>
      <c r="K43" s="43">
        <f>524-K42</f>
        <v>81</v>
      </c>
      <c r="L43" s="43">
        <v>70</v>
      </c>
      <c r="M43" s="43">
        <v>83</v>
      </c>
      <c r="N43" s="43">
        <v>107</v>
      </c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>
        <v>637</v>
      </c>
      <c r="AB43" s="43">
        <f>1408-AA43</f>
        <v>771</v>
      </c>
      <c r="AC43" s="43"/>
      <c r="AD43" s="43"/>
      <c r="AE43" s="43">
        <v>818</v>
      </c>
      <c r="AF43" s="43">
        <v>940</v>
      </c>
      <c r="AG43" s="43">
        <v>1028</v>
      </c>
      <c r="AH43" s="43">
        <v>1084</v>
      </c>
      <c r="AI43" s="43">
        <v>938</v>
      </c>
      <c r="AJ43" s="43">
        <v>972</v>
      </c>
      <c r="AK43" s="43">
        <v>957</v>
      </c>
      <c r="AL43" s="43">
        <v>722</v>
      </c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/>
      <c r="BY43" s="43"/>
      <c r="BZ43" s="43"/>
      <c r="CA43" s="42"/>
      <c r="CB43" s="41"/>
      <c r="CC43" s="41"/>
      <c r="CD43" s="41"/>
      <c r="CE43" s="41"/>
      <c r="CF43" s="41"/>
      <c r="CG43" s="41"/>
      <c r="CH43" s="41"/>
      <c r="CI43" s="41"/>
      <c r="CJ43" s="41"/>
      <c r="CK43" s="41"/>
      <c r="CL43" s="43">
        <f t="shared" si="31"/>
        <v>324</v>
      </c>
      <c r="CM43" s="43">
        <v>359</v>
      </c>
      <c r="CN43" s="43">
        <f t="shared" si="70"/>
        <v>341</v>
      </c>
      <c r="CO43" s="43">
        <v>473</v>
      </c>
      <c r="CP43" s="41">
        <v>345</v>
      </c>
      <c r="CQ43" s="41"/>
      <c r="CR43" s="41"/>
      <c r="CS43" s="41"/>
      <c r="CT43" s="39"/>
      <c r="CU43" s="45"/>
      <c r="CV43" s="45"/>
      <c r="CW43" s="45"/>
      <c r="CX43" s="45">
        <f t="shared" si="63"/>
        <v>0</v>
      </c>
      <c r="CY43" s="45">
        <f t="shared" si="64"/>
        <v>0</v>
      </c>
      <c r="CZ43" s="45">
        <f t="shared" si="65"/>
        <v>0</v>
      </c>
      <c r="DA43" s="45">
        <f t="shared" si="66"/>
        <v>0</v>
      </c>
      <c r="DB43" s="45">
        <f>SUM(BO43:BR43)</f>
        <v>0</v>
      </c>
      <c r="DC43" s="45"/>
      <c r="DD43" s="45"/>
      <c r="DE43" s="45"/>
      <c r="DF43" s="45"/>
      <c r="DG43" s="45"/>
      <c r="DH43" s="45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  <c r="EP43" s="39"/>
      <c r="EQ43" s="39"/>
      <c r="ER43" s="39"/>
      <c r="ES43" s="39"/>
    </row>
    <row r="44" spans="1:149" s="12" customFormat="1" ht="13" customHeight="1">
      <c r="A44" s="8"/>
      <c r="B44" s="9" t="s">
        <v>199</v>
      </c>
      <c r="C44" s="15">
        <f t="shared" ref="C44:O44" si="71">SUM(C22:C43)</f>
        <v>10614</v>
      </c>
      <c r="D44" s="15">
        <f t="shared" si="71"/>
        <v>11110</v>
      </c>
      <c r="E44" s="15">
        <f t="shared" si="71"/>
        <v>11246</v>
      </c>
      <c r="F44" s="15">
        <f t="shared" si="71"/>
        <v>12583</v>
      </c>
      <c r="G44" s="15">
        <f t="shared" si="71"/>
        <v>12498</v>
      </c>
      <c r="H44" s="15">
        <f t="shared" si="71"/>
        <v>13001</v>
      </c>
      <c r="I44" s="15">
        <f t="shared" si="71"/>
        <v>12545</v>
      </c>
      <c r="J44" s="15">
        <f t="shared" si="71"/>
        <v>13121</v>
      </c>
      <c r="K44" s="15">
        <f t="shared" si="71"/>
        <v>13674</v>
      </c>
      <c r="L44" s="15">
        <f t="shared" si="71"/>
        <v>15394</v>
      </c>
      <c r="M44" s="15">
        <f t="shared" si="71"/>
        <v>15584</v>
      </c>
      <c r="N44" s="15">
        <f t="shared" si="71"/>
        <v>16124</v>
      </c>
      <c r="O44" s="15">
        <f t="shared" si="71"/>
        <v>15693</v>
      </c>
      <c r="P44" s="15"/>
      <c r="Q44" s="15"/>
      <c r="R44" s="15"/>
      <c r="S44" s="15"/>
      <c r="T44" s="15"/>
      <c r="U44" s="15"/>
      <c r="V44" s="15"/>
      <c r="W44" s="15"/>
      <c r="X44" s="15"/>
      <c r="Y44" s="15"/>
      <c r="Z44" s="15"/>
      <c r="AA44" s="15">
        <f>SUM(AA22:AA43)</f>
        <v>20343</v>
      </c>
      <c r="AB44" s="15">
        <f>SUM(AB22:AB43)</f>
        <v>21629</v>
      </c>
      <c r="AC44" s="15">
        <f t="shared" ref="AC44:AL44" si="72">SUM(AC22:AC43)</f>
        <v>0</v>
      </c>
      <c r="AD44" s="15">
        <f t="shared" si="72"/>
        <v>0</v>
      </c>
      <c r="AE44" s="15">
        <f t="shared" si="72"/>
        <v>24929</v>
      </c>
      <c r="AF44" s="15">
        <f t="shared" si="72"/>
        <v>26729</v>
      </c>
      <c r="AG44" s="15">
        <f t="shared" si="72"/>
        <v>26416</v>
      </c>
      <c r="AH44" s="15">
        <f t="shared" si="72"/>
        <v>28415</v>
      </c>
      <c r="AI44" s="15">
        <f t="shared" si="72"/>
        <v>26586</v>
      </c>
      <c r="AJ44" s="15">
        <f t="shared" si="72"/>
        <v>26476</v>
      </c>
      <c r="AK44" s="15">
        <f t="shared" si="72"/>
        <v>26394</v>
      </c>
      <c r="AL44" s="15">
        <f t="shared" si="72"/>
        <v>27865</v>
      </c>
      <c r="AM44" s="15">
        <v>28452</v>
      </c>
      <c r="AN44" s="15">
        <v>28638</v>
      </c>
      <c r="AO44" s="15">
        <v>26614</v>
      </c>
      <c r="AP44" s="15">
        <v>27992</v>
      </c>
      <c r="AQ44" s="15">
        <f>SUM(AQ24:AQ43)</f>
        <v>26930</v>
      </c>
      <c r="AR44" s="15">
        <f>SUM(AR24:AR43)</f>
        <v>27407</v>
      </c>
      <c r="AS44" s="15">
        <f>SUM(AS24:AS43)</f>
        <v>27762</v>
      </c>
      <c r="AT44" s="15">
        <f>SUM(AT24:AT43)</f>
        <v>29732</v>
      </c>
      <c r="AU44" s="15">
        <f t="shared" ref="AU44:BI44" si="73">SUM(AU24:AU40)</f>
        <v>29291</v>
      </c>
      <c r="AV44" s="15">
        <f t="shared" si="73"/>
        <v>30036</v>
      </c>
      <c r="AW44" s="15">
        <f t="shared" si="73"/>
        <v>30277</v>
      </c>
      <c r="AX44" s="15">
        <f t="shared" si="73"/>
        <v>32417</v>
      </c>
      <c r="AY44" s="15">
        <f>SUM(AY24:AY40)</f>
        <v>33875</v>
      </c>
      <c r="AZ44" s="15">
        <f t="shared" si="73"/>
        <v>30006</v>
      </c>
      <c r="BA44" s="15">
        <f t="shared" si="73"/>
        <v>30927</v>
      </c>
      <c r="BB44" s="15">
        <f t="shared" si="73"/>
        <v>32138</v>
      </c>
      <c r="BC44" s="15">
        <f t="shared" si="73"/>
        <v>33804</v>
      </c>
      <c r="BD44" s="15">
        <f t="shared" si="73"/>
        <v>33041</v>
      </c>
      <c r="BE44" s="15">
        <f t="shared" si="73"/>
        <v>35622</v>
      </c>
      <c r="BF44" s="15">
        <f t="shared" si="73"/>
        <v>38333</v>
      </c>
      <c r="BG44" s="15">
        <f t="shared" si="73"/>
        <v>42031</v>
      </c>
      <c r="BH44" s="15">
        <f t="shared" si="73"/>
        <v>41265</v>
      </c>
      <c r="BI44" s="15">
        <f t="shared" si="73"/>
        <v>45566</v>
      </c>
      <c r="BJ44" s="15">
        <f t="shared" ref="BJ44:BT44" si="74">SUM(BJ24:BJ40)</f>
        <v>48092</v>
      </c>
      <c r="BK44" s="15">
        <f t="shared" si="74"/>
        <v>53367</v>
      </c>
      <c r="BL44" s="15">
        <f t="shared" si="74"/>
        <v>54300</v>
      </c>
      <c r="BM44" s="15">
        <f t="shared" si="74"/>
        <v>58731</v>
      </c>
      <c r="BN44" s="15">
        <f t="shared" si="74"/>
        <v>65863</v>
      </c>
      <c r="BO44" s="15">
        <f t="shared" si="74"/>
        <v>65349</v>
      </c>
      <c r="BP44" s="15">
        <f>SUM(BP24:BP40)</f>
        <v>68060</v>
      </c>
      <c r="BQ44" s="15">
        <f t="shared" si="74"/>
        <v>71311</v>
      </c>
      <c r="BR44" s="15">
        <f>SUM(BR24:BR40)</f>
        <v>85683</v>
      </c>
      <c r="BS44" s="15">
        <f>SUM(BS24:BS40)</f>
        <v>78087</v>
      </c>
      <c r="BT44" s="15">
        <f t="shared" si="74"/>
        <v>76857</v>
      </c>
      <c r="BU44" s="15">
        <f>SUM(BU24:BU40)</f>
        <v>74976</v>
      </c>
      <c r="BV44" s="15">
        <f>SUM(BV24:BV40)</f>
        <v>86141.49</v>
      </c>
      <c r="BW44" s="15"/>
      <c r="BX44" s="15"/>
      <c r="BY44" s="15"/>
      <c r="BZ44" s="15"/>
      <c r="CA44" s="13"/>
      <c r="CB44" s="13">
        <v>13647</v>
      </c>
      <c r="CC44" s="13">
        <v>16423</v>
      </c>
      <c r="CD44" s="13">
        <v>20485</v>
      </c>
      <c r="CE44" s="13">
        <v>23385</v>
      </c>
      <c r="CF44" s="13">
        <v>24866</v>
      </c>
      <c r="CG44" s="13"/>
      <c r="CH44" s="13"/>
      <c r="CI44" s="13"/>
      <c r="CJ44" s="13"/>
      <c r="CK44" s="13"/>
      <c r="CL44" s="13">
        <f>SUM(CL22:CL43)</f>
        <v>45553</v>
      </c>
      <c r="CM44" s="13">
        <f>SUM(CM22:CM43)</f>
        <v>51165</v>
      </c>
      <c r="CN44" s="13">
        <f>SUM(CN22:CN43)</f>
        <v>60776</v>
      </c>
      <c r="CO44" s="13">
        <f>SUM(CO22:CO43)</f>
        <v>66346</v>
      </c>
      <c r="CP44" s="13">
        <f>SUM(CP22:CP43)</f>
        <v>78026</v>
      </c>
      <c r="CQ44" s="13">
        <v>83572</v>
      </c>
      <c r="CR44" s="13">
        <v>88806</v>
      </c>
      <c r="CS44" s="57">
        <v>107927</v>
      </c>
      <c r="CT44" s="57">
        <v>111780</v>
      </c>
      <c r="CU44" s="57">
        <v>111696</v>
      </c>
      <c r="CV44" s="57">
        <v>111831</v>
      </c>
      <c r="CW44" s="57">
        <v>122021</v>
      </c>
      <c r="CX44" s="57">
        <f>SUM(CX24:CX43)</f>
        <v>126946</v>
      </c>
      <c r="CY44" s="57">
        <f>SUM(CY24:CY43)</f>
        <v>140800</v>
      </c>
      <c r="CZ44" s="57">
        <f>SUM(CZ24:CZ43)</f>
        <v>176954</v>
      </c>
      <c r="DA44" s="57">
        <f>SUM(DA24:DA43)</f>
        <v>232261</v>
      </c>
      <c r="DB44" s="57">
        <f>SUM(DB24:DB43)</f>
        <v>290403</v>
      </c>
      <c r="DC44" s="57">
        <f>SUM(BS44:BV44)</f>
        <v>316061.49</v>
      </c>
      <c r="DD44" s="57">
        <f t="shared" ref="DD44:DM44" si="75">SUM(DD14:DD43)</f>
        <v>299245.5405</v>
      </c>
      <c r="DE44" s="57">
        <f t="shared" si="75"/>
        <v>283472.96347500006</v>
      </c>
      <c r="DF44" s="57">
        <f t="shared" si="75"/>
        <v>268651.07530124998</v>
      </c>
      <c r="DG44" s="57">
        <f t="shared" si="75"/>
        <v>274699.92953618756</v>
      </c>
      <c r="DH44" s="57">
        <f t="shared" si="75"/>
        <v>267550.05945937807</v>
      </c>
      <c r="DI44" s="57">
        <f t="shared" si="75"/>
        <v>247832.33332291697</v>
      </c>
      <c r="DJ44" s="57">
        <f t="shared" si="75"/>
        <v>236429.3705543266</v>
      </c>
      <c r="DK44" s="57">
        <f t="shared" si="75"/>
        <v>232371.40784449907</v>
      </c>
      <c r="DL44" s="57">
        <f t="shared" si="75"/>
        <v>235393.44999647635</v>
      </c>
      <c r="DM44" s="57">
        <f t="shared" si="75"/>
        <v>245850.83305493803</v>
      </c>
    </row>
    <row r="45" spans="1:149" ht="13" customHeight="1">
      <c r="A45" s="40"/>
      <c r="B45" s="46" t="s">
        <v>133</v>
      </c>
      <c r="C45" s="43">
        <f t="shared" ref="C45:J45" si="76">C44-C46</f>
        <v>2413</v>
      </c>
      <c r="D45" s="43">
        <f t="shared" si="76"/>
        <v>2554</v>
      </c>
      <c r="E45" s="43">
        <f t="shared" si="76"/>
        <v>2606</v>
      </c>
      <c r="F45" s="43">
        <f t="shared" si="76"/>
        <v>2536</v>
      </c>
      <c r="G45" s="43">
        <f t="shared" si="76"/>
        <v>2508</v>
      </c>
      <c r="H45" s="43">
        <f t="shared" si="76"/>
        <v>2610</v>
      </c>
      <c r="I45" s="43">
        <f t="shared" si="76"/>
        <v>2713</v>
      </c>
      <c r="J45" s="43">
        <f t="shared" si="76"/>
        <v>2694</v>
      </c>
      <c r="K45" s="43">
        <f>+K44-K46</f>
        <v>2690</v>
      </c>
      <c r="L45" s="43">
        <f>+L44-L46</f>
        <v>2969</v>
      </c>
      <c r="M45" s="43">
        <f>+M44-M46</f>
        <v>2936</v>
      </c>
      <c r="N45" s="43">
        <f>+N44-N46</f>
        <v>3224.7999999999993</v>
      </c>
      <c r="O45" s="43">
        <f>O44-O46</f>
        <v>3117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+AB44-AB46</f>
        <v>3671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v>4197</v>
      </c>
      <c r="AR45" s="43">
        <v>4352</v>
      </c>
      <c r="AS45" s="43">
        <v>4415</v>
      </c>
      <c r="AT45" s="43">
        <f>+AT44-AT46</f>
        <v>4653</v>
      </c>
      <c r="AU45" s="43">
        <v>4732</v>
      </c>
      <c r="AV45" s="43">
        <v>4849</v>
      </c>
      <c r="AW45" s="43">
        <v>5075</v>
      </c>
      <c r="AX45" s="43">
        <f>+AX44-AX46</f>
        <v>5432</v>
      </c>
      <c r="AY45" s="43">
        <f t="shared" ref="AY45:BB45" si="77">AY44-AY46</f>
        <v>5386</v>
      </c>
      <c r="AZ45" s="43">
        <f t="shared" si="77"/>
        <v>4772</v>
      </c>
      <c r="BA45" s="43">
        <f t="shared" si="77"/>
        <v>5155</v>
      </c>
      <c r="BB45" s="43">
        <f t="shared" si="77"/>
        <v>5619</v>
      </c>
      <c r="BC45" s="43">
        <f>BC44-BC46</f>
        <v>5811</v>
      </c>
      <c r="BD45" s="43">
        <v>5547</v>
      </c>
      <c r="BE45" s="43">
        <f>+BE44-BE46</f>
        <v>6059</v>
      </c>
      <c r="BF45" s="44">
        <f>+BF44-BF46</f>
        <v>6241</v>
      </c>
      <c r="BG45" s="43">
        <f>BG44-BG46</f>
        <v>6917</v>
      </c>
      <c r="BH45" s="43">
        <v>6069</v>
      </c>
      <c r="BI45" s="43">
        <v>7200</v>
      </c>
      <c r="BJ45" s="43">
        <f t="shared" ref="BJ45" si="78">+BJ44-BJ46</f>
        <v>8262</v>
      </c>
      <c r="BK45" s="43">
        <f t="shared" ref="BK45:BR45" si="79">+BK44-BK46</f>
        <v>8182</v>
      </c>
      <c r="BL45" s="43">
        <f t="shared" si="79"/>
        <v>7856</v>
      </c>
      <c r="BM45" s="43">
        <f t="shared" si="79"/>
        <v>9713</v>
      </c>
      <c r="BN45" s="43">
        <f t="shared" si="79"/>
        <v>10014</v>
      </c>
      <c r="BO45" s="43">
        <f t="shared" si="79"/>
        <v>9916</v>
      </c>
      <c r="BP45" s="43">
        <v>10274</v>
      </c>
      <c r="BQ45" s="43">
        <f t="shared" si="79"/>
        <v>11308</v>
      </c>
      <c r="BR45" s="43">
        <f t="shared" si="79"/>
        <v>13024</v>
      </c>
      <c r="BS45" s="43">
        <v>12890</v>
      </c>
      <c r="BT45" s="43">
        <v>12846</v>
      </c>
      <c r="BU45" s="43">
        <v>17904</v>
      </c>
      <c r="BV45" s="43"/>
      <c r="BW45" s="43"/>
      <c r="BX45" s="43"/>
      <c r="BY45" s="43"/>
      <c r="BZ45" s="43"/>
      <c r="CA45" s="43"/>
      <c r="CB45" s="43">
        <v>-3751</v>
      </c>
      <c r="CC45" s="43">
        <v>-4227</v>
      </c>
      <c r="CD45" s="43">
        <f>CD46-CD44</f>
        <v>-5016</v>
      </c>
      <c r="CE45" s="43">
        <f>CE46-CE44</f>
        <v>-6036</v>
      </c>
      <c r="CF45" s="43">
        <f>CF46-CF44</f>
        <v>-6598</v>
      </c>
      <c r="CG45" s="43"/>
      <c r="CH45" s="43"/>
      <c r="CI45" s="43"/>
      <c r="CJ45" s="43"/>
      <c r="CK45" s="43"/>
      <c r="CL45" s="43"/>
      <c r="CM45" s="43">
        <f>SUM(G45:J45)</f>
        <v>10525</v>
      </c>
      <c r="CN45" s="43">
        <v>11680</v>
      </c>
      <c r="CO45" s="43">
        <v>12589</v>
      </c>
      <c r="CP45" s="43">
        <v>13465</v>
      </c>
      <c r="CQ45" s="43"/>
      <c r="CR45" s="43">
        <v>14562</v>
      </c>
      <c r="CS45" s="43">
        <v>16188</v>
      </c>
      <c r="CT45" s="45">
        <v>17183</v>
      </c>
      <c r="CU45" s="45"/>
      <c r="CV45" s="45"/>
      <c r="CW45" s="45">
        <f>+CW44-CW46</f>
        <v>20088</v>
      </c>
      <c r="CX45" s="45">
        <f>+CX44-CX46</f>
        <v>20932</v>
      </c>
      <c r="CY45" s="45">
        <f t="shared" si="64"/>
        <v>23658</v>
      </c>
      <c r="CZ45" s="45">
        <f t="shared" si="65"/>
        <v>28448</v>
      </c>
      <c r="DA45" s="45">
        <f t="shared" si="66"/>
        <v>35765</v>
      </c>
      <c r="DB45" s="45">
        <f t="shared" ref="DB45" si="80">SUM(BO45:BR45)</f>
        <v>44522</v>
      </c>
      <c r="DC45" s="45">
        <f>+DC44-DC46</f>
        <v>47409.223500000022</v>
      </c>
      <c r="DD45" s="45">
        <f t="shared" ref="DD45:DH45" si="81">+DD44-DD46</f>
        <v>44886.831074999995</v>
      </c>
      <c r="DE45" s="45">
        <f t="shared" si="81"/>
        <v>42520.944521250029</v>
      </c>
      <c r="DF45" s="45">
        <f t="shared" si="81"/>
        <v>40297.661295187514</v>
      </c>
      <c r="DG45" s="45">
        <f t="shared" si="81"/>
        <v>41204.989430428133</v>
      </c>
      <c r="DH45" s="45">
        <f t="shared" si="81"/>
        <v>40132.508918906708</v>
      </c>
      <c r="DI45" s="45">
        <f t="shared" ref="DI45:DM45" si="82">+DI44-DI46</f>
        <v>37174.849998437538</v>
      </c>
      <c r="DJ45" s="45">
        <f t="shared" si="82"/>
        <v>35464.405583148997</v>
      </c>
      <c r="DK45" s="45">
        <f t="shared" si="82"/>
        <v>34855.711176674871</v>
      </c>
      <c r="DL45" s="45">
        <f t="shared" si="82"/>
        <v>35309.017499471462</v>
      </c>
      <c r="DM45" s="45">
        <f t="shared" si="82"/>
        <v>36877.624958240718</v>
      </c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  <c r="EP45" s="39"/>
      <c r="EQ45" s="39"/>
      <c r="ER45" s="39"/>
      <c r="ES45" s="39"/>
    </row>
    <row r="46" spans="1:149" ht="13" customHeight="1">
      <c r="A46" s="40"/>
      <c r="B46" s="46" t="s">
        <v>134</v>
      </c>
      <c r="C46" s="43">
        <v>8201</v>
      </c>
      <c r="D46" s="43">
        <v>8556</v>
      </c>
      <c r="E46" s="43">
        <v>8640</v>
      </c>
      <c r="F46" s="43">
        <v>10047</v>
      </c>
      <c r="G46" s="43">
        <v>9990</v>
      </c>
      <c r="H46" s="43">
        <v>10391</v>
      </c>
      <c r="I46" s="43">
        <v>9832</v>
      </c>
      <c r="J46" s="43">
        <v>10427</v>
      </c>
      <c r="K46" s="43">
        <v>10984</v>
      </c>
      <c r="L46" s="43">
        <v>12425</v>
      </c>
      <c r="M46" s="43">
        <v>12648</v>
      </c>
      <c r="N46" s="43">
        <f>+N44*0.8</f>
        <v>12899.2</v>
      </c>
      <c r="O46" s="43">
        <v>12576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v>17958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f>+AQ44-AQ45</f>
        <v>22733</v>
      </c>
      <c r="AR46" s="43">
        <f>+AR44-AR45</f>
        <v>23055</v>
      </c>
      <c r="AS46" s="43">
        <f>+AS44-AS45</f>
        <v>23347</v>
      </c>
      <c r="AT46" s="43">
        <v>25079</v>
      </c>
      <c r="AU46" s="43">
        <f>+AU44-AU45</f>
        <v>24559</v>
      </c>
      <c r="AV46" s="43">
        <f>+AV44-AV45</f>
        <v>25187</v>
      </c>
      <c r="AW46" s="43">
        <f>+AW44-AW45</f>
        <v>25202</v>
      </c>
      <c r="AX46" s="43">
        <v>26985</v>
      </c>
      <c r="AY46" s="43">
        <v>28489</v>
      </c>
      <c r="AZ46" s="43">
        <v>25234</v>
      </c>
      <c r="BA46" s="43">
        <v>25772</v>
      </c>
      <c r="BB46" s="43">
        <v>26519</v>
      </c>
      <c r="BC46" s="43">
        <v>27993</v>
      </c>
      <c r="BD46" s="43">
        <f>+BD44-BD45</f>
        <v>27494</v>
      </c>
      <c r="BE46" s="43">
        <v>29563</v>
      </c>
      <c r="BF46" s="43">
        <v>32092</v>
      </c>
      <c r="BG46" s="43">
        <v>35114</v>
      </c>
      <c r="BH46" s="43">
        <f>+BH44-BH45</f>
        <v>35196</v>
      </c>
      <c r="BI46" s="43">
        <f>+BI44-BI45</f>
        <v>38366</v>
      </c>
      <c r="BJ46" s="43">
        <v>39830</v>
      </c>
      <c r="BK46" s="43">
        <v>45185</v>
      </c>
      <c r="BL46" s="43">
        <v>46444</v>
      </c>
      <c r="BM46" s="43">
        <v>49018</v>
      </c>
      <c r="BN46" s="43">
        <v>55849</v>
      </c>
      <c r="BO46" s="43">
        <v>55433</v>
      </c>
      <c r="BP46" s="43">
        <f>+BP44-BP45</f>
        <v>57786</v>
      </c>
      <c r="BQ46" s="43">
        <v>60003</v>
      </c>
      <c r="BR46" s="43">
        <v>72659</v>
      </c>
      <c r="BS46" s="43">
        <f>+BS44-BS45</f>
        <v>65197</v>
      </c>
      <c r="BT46" s="43">
        <f>+BT44-BT45</f>
        <v>64011</v>
      </c>
      <c r="BU46" s="43">
        <f>+BU44-BU45</f>
        <v>57072</v>
      </c>
      <c r="BV46" s="43"/>
      <c r="BW46" s="43"/>
      <c r="BX46" s="43"/>
      <c r="BY46" s="43"/>
      <c r="BZ46" s="43"/>
      <c r="CA46" s="43"/>
      <c r="CB46" s="43">
        <f>CB44+CB45</f>
        <v>9896</v>
      </c>
      <c r="CC46" s="43">
        <f>CC44+CC45</f>
        <v>12196</v>
      </c>
      <c r="CD46" s="43">
        <v>15469</v>
      </c>
      <c r="CE46" s="43">
        <v>17349</v>
      </c>
      <c r="CF46" s="43">
        <v>18268</v>
      </c>
      <c r="CG46" s="43"/>
      <c r="CH46" s="43"/>
      <c r="CI46" s="43"/>
      <c r="CJ46" s="43"/>
      <c r="CK46" s="43"/>
      <c r="CL46" s="43"/>
      <c r="CM46" s="43">
        <f>CM44-CM45</f>
        <v>40640</v>
      </c>
      <c r="CN46" s="43">
        <f>+CN44-CN45</f>
        <v>49096</v>
      </c>
      <c r="CO46" s="43">
        <f>+CO44-CO45</f>
        <v>53757</v>
      </c>
      <c r="CP46" s="43">
        <f>+CP44-CP45</f>
        <v>64561</v>
      </c>
      <c r="CQ46" s="43"/>
      <c r="CR46" s="43">
        <f>+CR44-CR45</f>
        <v>74244</v>
      </c>
      <c r="CS46" s="43">
        <f>+CS44-CS45</f>
        <v>91739</v>
      </c>
      <c r="CT46" s="45">
        <f>+CT44-CT45</f>
        <v>94597</v>
      </c>
      <c r="CU46" s="45">
        <v>94064</v>
      </c>
      <c r="CV46" s="45">
        <v>94214</v>
      </c>
      <c r="CW46" s="45">
        <v>101933</v>
      </c>
      <c r="CX46" s="45">
        <v>106014</v>
      </c>
      <c r="CY46" s="45">
        <f>+CY44-CY45</f>
        <v>117142</v>
      </c>
      <c r="CZ46" s="45">
        <v>148506</v>
      </c>
      <c r="DA46" s="45">
        <f>+DA44-DA45</f>
        <v>196496</v>
      </c>
      <c r="DB46" s="45">
        <f>+DB44-DB45</f>
        <v>245881</v>
      </c>
      <c r="DC46" s="45">
        <f>+DC44*0.85</f>
        <v>268652.26649999997</v>
      </c>
      <c r="DD46" s="45">
        <f t="shared" ref="DD46:DH46" si="83">+DD44*0.85</f>
        <v>254358.70942500001</v>
      </c>
      <c r="DE46" s="45">
        <f t="shared" si="83"/>
        <v>240952.01895375003</v>
      </c>
      <c r="DF46" s="45">
        <f t="shared" si="83"/>
        <v>228353.41400606246</v>
      </c>
      <c r="DG46" s="45">
        <f t="shared" si="83"/>
        <v>233494.94010575942</v>
      </c>
      <c r="DH46" s="45">
        <f t="shared" si="83"/>
        <v>227417.55054047136</v>
      </c>
      <c r="DI46" s="45">
        <f t="shared" ref="DI46:DM46" si="84">+DI44*0.85</f>
        <v>210657.48332447943</v>
      </c>
      <c r="DJ46" s="45">
        <f t="shared" si="84"/>
        <v>200964.9649711776</v>
      </c>
      <c r="DK46" s="45">
        <f t="shared" si="84"/>
        <v>197515.6966678242</v>
      </c>
      <c r="DL46" s="45">
        <f t="shared" si="84"/>
        <v>200084.43249700489</v>
      </c>
      <c r="DM46" s="45">
        <f t="shared" si="84"/>
        <v>208973.20809669732</v>
      </c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  <c r="EP46" s="39"/>
      <c r="EQ46" s="39"/>
      <c r="ER46" s="39"/>
      <c r="ES46" s="39"/>
    </row>
    <row r="47" spans="1:149" ht="13" customHeight="1">
      <c r="A47" s="40"/>
      <c r="B47" s="46" t="s">
        <v>135</v>
      </c>
      <c r="C47" s="43">
        <v>2975</v>
      </c>
      <c r="D47" s="43">
        <v>3178</v>
      </c>
      <c r="E47" s="43">
        <v>3155</v>
      </c>
      <c r="F47" s="43">
        <v>3558</v>
      </c>
      <c r="G47" s="43">
        <v>3844</v>
      </c>
      <c r="H47" s="43">
        <v>3837</v>
      </c>
      <c r="I47" s="43">
        <v>3502</v>
      </c>
      <c r="J47" s="43">
        <v>4237</v>
      </c>
      <c r="K47" s="43">
        <v>3984</v>
      </c>
      <c r="L47" s="43">
        <v>4364</v>
      </c>
      <c r="M47" s="43">
        <v>4573</v>
      </c>
      <c r="N47" s="43">
        <f>+M47</f>
        <v>4573</v>
      </c>
      <c r="O47" s="43">
        <v>4260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v>5559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v>6451</v>
      </c>
      <c r="AR47" s="43">
        <v>7090</v>
      </c>
      <c r="AS47" s="43">
        <v>7128</v>
      </c>
      <c r="AT47" s="43">
        <v>8728</v>
      </c>
      <c r="AU47" s="43">
        <v>6946</v>
      </c>
      <c r="AV47" s="43">
        <v>7580</v>
      </c>
      <c r="AW47" s="43">
        <v>7761</v>
      </c>
      <c r="AX47" s="43">
        <v>9536</v>
      </c>
      <c r="AY47" s="43">
        <v>7590</v>
      </c>
      <c r="AZ47" s="43">
        <v>7398</v>
      </c>
      <c r="BA47" s="43">
        <v>8174</v>
      </c>
      <c r="BB47" s="43">
        <v>9766</v>
      </c>
      <c r="BC47" s="43">
        <v>8256</v>
      </c>
      <c r="BD47" s="43">
        <v>8001</v>
      </c>
      <c r="BE47" s="43">
        <v>9119</v>
      </c>
      <c r="BF47" s="43">
        <v>11632</v>
      </c>
      <c r="BG47" s="43">
        <v>10183</v>
      </c>
      <c r="BH47" s="43">
        <v>10840</v>
      </c>
      <c r="BI47" s="43">
        <v>11451</v>
      </c>
      <c r="BJ47" s="43">
        <v>13743</v>
      </c>
      <c r="BK47" s="43">
        <v>12412</v>
      </c>
      <c r="BL47" s="43">
        <v>14342</v>
      </c>
      <c r="BM47" s="43">
        <v>12819</v>
      </c>
      <c r="BN47" s="43">
        <v>17170</v>
      </c>
      <c r="BO47" s="43">
        <v>13256</v>
      </c>
      <c r="BP47" s="43">
        <v>14934</v>
      </c>
      <c r="BQ47" s="43">
        <v>15210</v>
      </c>
      <c r="BR47" s="43">
        <v>18701</v>
      </c>
      <c r="BS47" s="43">
        <v>14892</v>
      </c>
      <c r="BT47" s="43">
        <v>17533</v>
      </c>
      <c r="BU47" s="43">
        <v>15996</v>
      </c>
      <c r="BV47" s="43"/>
      <c r="BW47" s="43"/>
      <c r="BX47" s="43"/>
      <c r="BY47" s="43"/>
      <c r="BZ47" s="43"/>
      <c r="CA47" s="43"/>
      <c r="CB47" s="43">
        <v>-4212</v>
      </c>
      <c r="CC47" s="43">
        <v>-4812</v>
      </c>
      <c r="CD47" s="43">
        <v>-6013</v>
      </c>
      <c r="CE47" s="43">
        <v>-6951</v>
      </c>
      <c r="CF47" s="43">
        <v>-7187</v>
      </c>
      <c r="CG47" s="43"/>
      <c r="CH47" s="43"/>
      <c r="CI47" s="43"/>
      <c r="CJ47" s="43"/>
      <c r="CK47" s="43"/>
      <c r="CL47" s="43"/>
      <c r="CM47" s="43">
        <f>SUM(G47:J47)</f>
        <v>15420</v>
      </c>
      <c r="CN47" s="43">
        <v>18195</v>
      </c>
      <c r="CO47" s="43">
        <v>19004</v>
      </c>
      <c r="CP47" s="43">
        <v>21544</v>
      </c>
      <c r="CQ47" s="43"/>
      <c r="CR47" s="43">
        <v>23223</v>
      </c>
      <c r="CS47" s="43">
        <v>28312</v>
      </c>
      <c r="CT47" s="45">
        <v>28377</v>
      </c>
      <c r="CU47" s="45">
        <v>28340</v>
      </c>
      <c r="CV47" s="45">
        <v>29397</v>
      </c>
      <c r="CW47" s="45">
        <v>31823</v>
      </c>
      <c r="CX47" s="45">
        <v>32928</v>
      </c>
      <c r="CY47" s="45">
        <f t="shared" si="64"/>
        <v>37008</v>
      </c>
      <c r="CZ47" s="45">
        <f t="shared" si="65"/>
        <v>46217</v>
      </c>
      <c r="DA47" s="45">
        <f t="shared" ref="DA47:DA50" si="85">SUM(BK47:BN47)</f>
        <v>56743</v>
      </c>
      <c r="DB47" s="45">
        <f t="shared" ref="DB47:DB50" si="86">SUM(BO47:BR47)</f>
        <v>62101</v>
      </c>
      <c r="DC47" s="45">
        <f>+DB47</f>
        <v>62101</v>
      </c>
      <c r="DD47" s="45">
        <f>+DD44*0.2</f>
        <v>59849.108100000005</v>
      </c>
      <c r="DE47" s="45">
        <f t="shared" ref="DE47:DM47" si="87">+DE44*0.2</f>
        <v>56694.592695000014</v>
      </c>
      <c r="DF47" s="45">
        <f t="shared" si="87"/>
        <v>53730.215060249997</v>
      </c>
      <c r="DG47" s="45">
        <f t="shared" si="87"/>
        <v>54939.985907237511</v>
      </c>
      <c r="DH47" s="45">
        <f t="shared" si="87"/>
        <v>53510.01189187562</v>
      </c>
      <c r="DI47" s="45">
        <f t="shared" si="87"/>
        <v>49566.466664583393</v>
      </c>
      <c r="DJ47" s="45">
        <f t="shared" si="87"/>
        <v>47285.874110865319</v>
      </c>
      <c r="DK47" s="45">
        <f t="shared" si="87"/>
        <v>46474.281568899816</v>
      </c>
      <c r="DL47" s="45">
        <f t="shared" si="87"/>
        <v>47078.689999295275</v>
      </c>
      <c r="DM47" s="45">
        <f t="shared" si="87"/>
        <v>49170.16661098761</v>
      </c>
      <c r="DN47" s="39"/>
      <c r="DO47" s="39"/>
      <c r="DP47" s="39"/>
      <c r="DQ47" s="39"/>
      <c r="DR47" s="39"/>
      <c r="DS47" s="39"/>
      <c r="DT47" s="39"/>
      <c r="DU47" s="39"/>
      <c r="DV47" s="39"/>
      <c r="DW47" s="39"/>
      <c r="DX47" s="39"/>
      <c r="DY47" s="39"/>
      <c r="DZ47" s="39"/>
      <c r="EA47" s="39"/>
      <c r="EB47" s="39"/>
      <c r="EC47" s="39"/>
      <c r="ED47" s="39"/>
      <c r="EE47" s="39"/>
      <c r="EF47" s="39"/>
      <c r="EG47" s="39"/>
      <c r="EH47" s="39"/>
      <c r="EI47" s="39"/>
      <c r="EJ47" s="39"/>
      <c r="EK47" s="39"/>
      <c r="EL47" s="39"/>
      <c r="EM47" s="39"/>
      <c r="EN47" s="39"/>
      <c r="EO47" s="39"/>
      <c r="EP47" s="39"/>
      <c r="EQ47" s="39"/>
      <c r="ER47" s="39"/>
      <c r="ES47" s="39"/>
    </row>
    <row r="48" spans="1:149" ht="13" customHeight="1">
      <c r="A48" s="40"/>
      <c r="B48" s="46" t="s">
        <v>136</v>
      </c>
      <c r="C48" s="43">
        <f>1858-220</f>
        <v>1638</v>
      </c>
      <c r="D48" s="43">
        <f>1980-155</f>
        <v>1825</v>
      </c>
      <c r="E48" s="43">
        <f>1579+50</f>
        <v>1629</v>
      </c>
      <c r="F48" s="43">
        <v>2439</v>
      </c>
      <c r="G48" s="43">
        <v>1744</v>
      </c>
      <c r="H48" s="43">
        <v>1849</v>
      </c>
      <c r="I48" s="43">
        <v>1884</v>
      </c>
      <c r="J48" s="43">
        <v>2387</v>
      </c>
      <c r="K48" s="43">
        <v>2131</v>
      </c>
      <c r="L48" s="43">
        <v>2434</v>
      </c>
      <c r="M48" s="43">
        <v>2302</v>
      </c>
      <c r="N48" s="43">
        <f>+M48</f>
        <v>2302</v>
      </c>
      <c r="O48" s="43">
        <v>2290</v>
      </c>
      <c r="P48" s="43"/>
      <c r="Q48" s="43"/>
      <c r="R48" s="43"/>
      <c r="S48" s="43"/>
      <c r="T48" s="43"/>
      <c r="U48" s="43"/>
      <c r="V48" s="43"/>
      <c r="W48" s="43"/>
      <c r="X48" s="43"/>
      <c r="Y48" s="43"/>
      <c r="Z48" s="43"/>
      <c r="AA48" s="43"/>
      <c r="AB48" s="43">
        <v>3075</v>
      </c>
      <c r="AC48" s="43"/>
      <c r="AD48" s="43"/>
      <c r="AE48" s="43"/>
      <c r="AF48" s="43"/>
      <c r="AG48" s="43"/>
      <c r="AH48" s="43"/>
      <c r="AI48" s="43"/>
      <c r="AJ48" s="43"/>
      <c r="AK48" s="43"/>
      <c r="AL48" s="43"/>
      <c r="AM48" s="43"/>
      <c r="AN48" s="43"/>
      <c r="AO48" s="43"/>
      <c r="AP48" s="43"/>
      <c r="AQ48" s="43">
        <v>3321</v>
      </c>
      <c r="AR48" s="43">
        <v>3296</v>
      </c>
      <c r="AS48" s="43">
        <v>3644</v>
      </c>
      <c r="AT48" s="43">
        <v>4544</v>
      </c>
      <c r="AU48" s="43">
        <v>2678</v>
      </c>
      <c r="AV48" s="43">
        <v>3557</v>
      </c>
      <c r="AW48" s="43">
        <v>3601</v>
      </c>
      <c r="AX48" s="43">
        <v>4384</v>
      </c>
      <c r="AY48" s="43">
        <v>3777</v>
      </c>
      <c r="AZ48" s="43">
        <v>3291</v>
      </c>
      <c r="BA48" s="43">
        <v>3911</v>
      </c>
      <c r="BB48" s="43">
        <v>4483</v>
      </c>
      <c r="BC48" s="43">
        <v>3944</v>
      </c>
      <c r="BD48" s="43">
        <v>3944</v>
      </c>
      <c r="BE48" s="43">
        <v>4252</v>
      </c>
      <c r="BF48" s="43">
        <v>5632</v>
      </c>
      <c r="BG48" s="43">
        <v>5206</v>
      </c>
      <c r="BH48" s="43">
        <v>5123</v>
      </c>
      <c r="BI48" s="43">
        <v>5633</v>
      </c>
      <c r="BJ48" s="43">
        <v>8085</v>
      </c>
      <c r="BK48" s="43">
        <v>6728</v>
      </c>
      <c r="BL48" s="43">
        <v>7127</v>
      </c>
      <c r="BM48" s="43">
        <v>8128</v>
      </c>
      <c r="BN48" s="43">
        <v>10460</v>
      </c>
      <c r="BO48" s="43">
        <v>8606</v>
      </c>
      <c r="BP48" s="43">
        <v>16166</v>
      </c>
      <c r="BQ48" s="43">
        <v>9488</v>
      </c>
      <c r="BR48" s="43">
        <v>13802</v>
      </c>
      <c r="BS48" s="43">
        <v>10308</v>
      </c>
      <c r="BT48" s="43">
        <v>11690</v>
      </c>
      <c r="BU48" s="43">
        <v>15393</v>
      </c>
      <c r="BV48" s="43"/>
      <c r="BW48" s="43"/>
      <c r="BX48" s="43"/>
      <c r="BY48" s="43"/>
      <c r="BZ48" s="43"/>
      <c r="CA48" s="43"/>
      <c r="CB48" s="43">
        <v>-2795</v>
      </c>
      <c r="CC48" s="43">
        <v>-2748</v>
      </c>
      <c r="CD48" s="43">
        <v>-3407</v>
      </c>
      <c r="CE48" s="43">
        <v>-3872</v>
      </c>
      <c r="CF48" s="43">
        <v>-3952</v>
      </c>
      <c r="CG48" s="43"/>
      <c r="CH48" s="43"/>
      <c r="CI48" s="43"/>
      <c r="CJ48" s="43"/>
      <c r="CK48" s="43"/>
      <c r="CL48" s="43"/>
      <c r="CM48" s="43">
        <f>SUM(G48:J48)</f>
        <v>7864</v>
      </c>
      <c r="CN48" s="43">
        <v>9602</v>
      </c>
      <c r="CO48" s="43">
        <v>9628</v>
      </c>
      <c r="CP48" s="43">
        <v>10897</v>
      </c>
      <c r="CQ48" s="43"/>
      <c r="CR48" s="43">
        <v>13762</v>
      </c>
      <c r="CS48" s="43">
        <v>13608</v>
      </c>
      <c r="CT48" s="45">
        <v>14563</v>
      </c>
      <c r="CU48" s="45">
        <v>14014</v>
      </c>
      <c r="CV48" s="45">
        <v>14805</v>
      </c>
      <c r="CW48" s="45">
        <v>14220</v>
      </c>
      <c r="CX48" s="45">
        <v>15462</v>
      </c>
      <c r="CY48" s="45">
        <f t="shared" si="64"/>
        <v>17772</v>
      </c>
      <c r="CZ48" s="45">
        <f t="shared" si="65"/>
        <v>24047</v>
      </c>
      <c r="DA48" s="45">
        <f t="shared" si="85"/>
        <v>32443</v>
      </c>
      <c r="DB48" s="45">
        <f t="shared" si="86"/>
        <v>48062</v>
      </c>
      <c r="DC48" s="45">
        <f>+DB48</f>
        <v>48062</v>
      </c>
      <c r="DD48" s="45"/>
      <c r="DE48" s="45"/>
      <c r="DF48" s="45"/>
      <c r="DG48" s="45"/>
      <c r="DH48" s="45"/>
      <c r="DI48" s="45"/>
      <c r="DJ48" s="45"/>
      <c r="DK48" s="45"/>
      <c r="DL48" s="45"/>
      <c r="DM48" s="45"/>
      <c r="DN48" s="39"/>
      <c r="DO48" s="39"/>
      <c r="DP48" s="39"/>
      <c r="DQ48" s="39"/>
      <c r="DR48" s="39"/>
      <c r="DS48" s="39"/>
      <c r="DT48" s="39"/>
      <c r="DU48" s="39"/>
      <c r="DV48" s="39"/>
      <c r="DW48" s="39"/>
      <c r="DX48" s="39"/>
      <c r="DY48" s="39"/>
      <c r="DZ48" s="39"/>
      <c r="EA48" s="39"/>
      <c r="EB48" s="39"/>
      <c r="EC48" s="39"/>
      <c r="ED48" s="39"/>
      <c r="EE48" s="39"/>
      <c r="EF48" s="39"/>
      <c r="EG48" s="39"/>
      <c r="EH48" s="39"/>
      <c r="EI48" s="39"/>
      <c r="EJ48" s="39"/>
      <c r="EK48" s="39"/>
      <c r="EL48" s="39"/>
      <c r="EM48" s="39"/>
      <c r="EN48" s="39"/>
      <c r="EO48" s="39"/>
      <c r="EP48" s="39"/>
      <c r="EQ48" s="39"/>
      <c r="ER48" s="39"/>
      <c r="ES48" s="39"/>
    </row>
    <row r="49" spans="1:149" ht="13" customHeight="1">
      <c r="A49" s="40"/>
      <c r="B49" s="46" t="s">
        <v>191</v>
      </c>
      <c r="C49" s="43">
        <v>627</v>
      </c>
      <c r="D49" s="43">
        <v>626</v>
      </c>
      <c r="E49" s="43">
        <v>633</v>
      </c>
      <c r="F49" s="43">
        <v>749</v>
      </c>
      <c r="G49" s="43">
        <v>679</v>
      </c>
      <c r="H49" s="43">
        <v>693</v>
      </c>
      <c r="I49" s="43">
        <v>666</v>
      </c>
      <c r="J49" s="43">
        <v>726</v>
      </c>
      <c r="K49" s="43">
        <v>711</v>
      </c>
      <c r="L49" s="43">
        <v>745</v>
      </c>
      <c r="M49" s="43">
        <v>759</v>
      </c>
      <c r="N49" s="43">
        <f>+M49</f>
        <v>759</v>
      </c>
      <c r="O49" s="43">
        <v>756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795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864</v>
      </c>
      <c r="AR49" s="43">
        <v>851</v>
      </c>
      <c r="AS49" s="43">
        <v>932</v>
      </c>
      <c r="AT49" s="43">
        <v>1269</v>
      </c>
      <c r="AU49" s="43">
        <v>911</v>
      </c>
      <c r="AV49" s="43">
        <v>852</v>
      </c>
      <c r="AW49" s="43">
        <v>1009</v>
      </c>
      <c r="AX49" s="43">
        <v>1235</v>
      </c>
      <c r="AY49" s="43">
        <v>927</v>
      </c>
      <c r="AZ49" s="43">
        <v>827</v>
      </c>
      <c r="BA49" s="43">
        <v>1006</v>
      </c>
      <c r="BB49" s="43">
        <v>1198</v>
      </c>
      <c r="BC49" s="43">
        <v>932</v>
      </c>
      <c r="BD49" s="43">
        <v>904</v>
      </c>
      <c r="BE49" s="43">
        <v>1024</v>
      </c>
      <c r="BF49" s="43">
        <v>1190</v>
      </c>
      <c r="BG49" s="43">
        <v>970</v>
      </c>
      <c r="BH49" s="43">
        <v>991</v>
      </c>
      <c r="BI49" s="43">
        <v>1158</v>
      </c>
      <c r="BJ49" s="43">
        <v>1348</v>
      </c>
      <c r="BK49" s="43">
        <v>1071</v>
      </c>
      <c r="BL49" s="43">
        <v>1072</v>
      </c>
      <c r="BM49" s="43">
        <v>1256</v>
      </c>
      <c r="BN49" s="43">
        <v>1456</v>
      </c>
      <c r="BO49" s="43">
        <v>1157</v>
      </c>
      <c r="BP49" s="43">
        <v>1157</v>
      </c>
      <c r="BQ49" s="43">
        <v>1382</v>
      </c>
      <c r="BR49" s="43">
        <v>1580</v>
      </c>
      <c r="BS49" s="43">
        <v>1220</v>
      </c>
      <c r="BT49" s="43">
        <v>1316</v>
      </c>
      <c r="BU49" s="43">
        <v>1884</v>
      </c>
      <c r="BV49" s="43"/>
      <c r="BW49" s="43"/>
      <c r="BX49" s="43"/>
      <c r="BY49" s="43"/>
      <c r="BZ49" s="43"/>
      <c r="CA49" s="43"/>
      <c r="CB49" s="43">
        <v>-1397</v>
      </c>
      <c r="CC49" s="43">
        <v>-1721</v>
      </c>
      <c r="CD49" s="43">
        <v>-1917</v>
      </c>
      <c r="CE49" s="43">
        <v>-1931</v>
      </c>
      <c r="CF49" s="43">
        <v>-1960</v>
      </c>
      <c r="CG49" s="43"/>
      <c r="CH49" s="43"/>
      <c r="CI49" s="43"/>
      <c r="CJ49" s="43"/>
      <c r="CK49" s="43"/>
      <c r="CL49" s="43"/>
      <c r="CM49" s="43">
        <f>SUM(G49:J49)</f>
        <v>2764</v>
      </c>
      <c r="CN49" s="43">
        <v>3065</v>
      </c>
      <c r="CO49" s="43">
        <v>3245</v>
      </c>
      <c r="CP49" s="43">
        <v>3312</v>
      </c>
      <c r="CQ49" s="43"/>
      <c r="CR49" s="43">
        <v>3537</v>
      </c>
      <c r="CS49" s="43">
        <v>3857</v>
      </c>
      <c r="CT49" s="45">
        <v>3962</v>
      </c>
      <c r="CU49" s="45">
        <v>3784</v>
      </c>
      <c r="CV49" s="45">
        <v>3916</v>
      </c>
      <c r="CW49" s="45">
        <v>4007</v>
      </c>
      <c r="CX49" s="45">
        <v>3958</v>
      </c>
      <c r="CY49" s="45">
        <f t="shared" si="64"/>
        <v>4050</v>
      </c>
      <c r="CZ49" s="45">
        <f t="shared" si="65"/>
        <v>4467</v>
      </c>
      <c r="DA49" s="45">
        <f t="shared" si="85"/>
        <v>4855</v>
      </c>
      <c r="DB49" s="45">
        <f t="shared" si="86"/>
        <v>5276</v>
      </c>
      <c r="DC49" s="45">
        <f>+DB49</f>
        <v>5276</v>
      </c>
      <c r="DD49" s="45">
        <f>+DC49*0.99</f>
        <v>5223.24</v>
      </c>
      <c r="DE49" s="45">
        <f t="shared" ref="DE49:DM49" si="88">+DD49*0.99</f>
        <v>5171.0075999999999</v>
      </c>
      <c r="DF49" s="45">
        <f t="shared" si="88"/>
        <v>5119.2975239999996</v>
      </c>
      <c r="DG49" s="45">
        <f t="shared" si="88"/>
        <v>5068.1045487599995</v>
      </c>
      <c r="DH49" s="45">
        <f t="shared" si="88"/>
        <v>5017.4235032723991</v>
      </c>
      <c r="DI49" s="45">
        <f t="shared" si="88"/>
        <v>4967.2492682396751</v>
      </c>
      <c r="DJ49" s="45">
        <f t="shared" si="88"/>
        <v>4917.5767755572779</v>
      </c>
      <c r="DK49" s="45">
        <f t="shared" si="88"/>
        <v>4868.4010078017054</v>
      </c>
      <c r="DL49" s="45">
        <f t="shared" si="88"/>
        <v>4819.7169977236881</v>
      </c>
      <c r="DM49" s="45">
        <f t="shared" si="88"/>
        <v>4771.5198277464515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  <c r="EP49" s="39"/>
      <c r="EQ49" s="39"/>
      <c r="ER49" s="39"/>
      <c r="ES49" s="39"/>
    </row>
    <row r="50" spans="1:149" ht="13" customHeight="1">
      <c r="A50" s="40"/>
      <c r="B50" s="46" t="s">
        <v>132</v>
      </c>
      <c r="C50" s="43">
        <v>88</v>
      </c>
      <c r="D50" s="43">
        <v>74</v>
      </c>
      <c r="E50" s="43">
        <v>51</v>
      </c>
      <c r="F50" s="43">
        <v>73</v>
      </c>
      <c r="G50" s="43">
        <v>87</v>
      </c>
      <c r="H50" s="43">
        <v>78</v>
      </c>
      <c r="I50" s="43">
        <v>34</v>
      </c>
      <c r="J50" s="43">
        <v>142</v>
      </c>
      <c r="K50" s="43">
        <v>224</v>
      </c>
      <c r="L50" s="43">
        <v>159</v>
      </c>
      <c r="M50" s="43">
        <v>110</v>
      </c>
      <c r="N50" s="43">
        <f>+M50</f>
        <v>110</v>
      </c>
      <c r="O50" s="43">
        <v>148</v>
      </c>
      <c r="P50" s="43"/>
      <c r="Q50" s="43"/>
      <c r="R50" s="43"/>
      <c r="S50" s="43"/>
      <c r="T50" s="43"/>
      <c r="U50" s="43"/>
      <c r="V50" s="43"/>
      <c r="W50" s="43"/>
      <c r="X50" s="43"/>
      <c r="Y50" s="43"/>
      <c r="Z50" s="43"/>
      <c r="AA50" s="43"/>
      <c r="AB50" s="43">
        <v>204</v>
      </c>
      <c r="AC50" s="43"/>
      <c r="AD50" s="43"/>
      <c r="AE50" s="43"/>
      <c r="AF50" s="43"/>
      <c r="AG50" s="43"/>
      <c r="AH50" s="43"/>
      <c r="AI50" s="43"/>
      <c r="AJ50" s="43"/>
      <c r="AK50" s="43"/>
      <c r="AL50" s="43"/>
      <c r="AM50" s="43"/>
      <c r="AN50" s="43"/>
      <c r="AO50" s="43"/>
      <c r="AP50" s="43"/>
      <c r="AQ50" s="43">
        <v>-351</v>
      </c>
      <c r="AR50" s="43">
        <v>-386</v>
      </c>
      <c r="AS50" s="43">
        <v>-170</v>
      </c>
      <c r="AT50" s="43">
        <v>-245</v>
      </c>
      <c r="AU50" s="43">
        <v>-215</v>
      </c>
      <c r="AV50" s="43">
        <v>-254</v>
      </c>
      <c r="AW50" s="43">
        <v>-88</v>
      </c>
      <c r="AX50" s="43">
        <v>-43</v>
      </c>
      <c r="AY50" s="43">
        <v>-107</v>
      </c>
      <c r="AZ50" s="43">
        <v>-120</v>
      </c>
      <c r="BA50" s="43">
        <v>-127</v>
      </c>
      <c r="BB50" s="43">
        <v>-106</v>
      </c>
      <c r="BC50" s="43">
        <v>-121</v>
      </c>
      <c r="BD50" s="43">
        <v>-134</v>
      </c>
      <c r="BE50" s="43">
        <v>-81</v>
      </c>
      <c r="BF50" s="43">
        <v>4</v>
      </c>
      <c r="BG50" s="43">
        <v>-392</v>
      </c>
      <c r="BH50" s="43">
        <v>-149</v>
      </c>
      <c r="BI50" s="43">
        <v>-60</v>
      </c>
      <c r="BJ50" s="43">
        <v>-433</v>
      </c>
      <c r="BK50" s="43">
        <v>-33</v>
      </c>
      <c r="BL50" s="43">
        <v>15</v>
      </c>
      <c r="BM50" s="43">
        <v>-98</v>
      </c>
      <c r="BN50" s="43">
        <v>-3</v>
      </c>
      <c r="BO50" s="43">
        <v>568</v>
      </c>
      <c r="BP50" s="43">
        <v>-405</v>
      </c>
      <c r="BQ50" s="43">
        <v>101</v>
      </c>
      <c r="BR50" s="43">
        <v>1839</v>
      </c>
      <c r="BS50" s="43">
        <v>-14</v>
      </c>
      <c r="BT50" s="43">
        <v>23</v>
      </c>
      <c r="BU50" s="43">
        <v>117</v>
      </c>
      <c r="BV50" s="43"/>
      <c r="BW50" s="43"/>
      <c r="BX50" s="43"/>
      <c r="BY50" s="43"/>
      <c r="BZ50" s="43"/>
      <c r="CA50" s="43"/>
      <c r="CB50" s="43">
        <v>1441</v>
      </c>
      <c r="CC50" s="43">
        <v>612</v>
      </c>
      <c r="CD50" s="43">
        <v>571</v>
      </c>
      <c r="CE50" s="43">
        <v>815</v>
      </c>
      <c r="CF50" s="43">
        <v>758</v>
      </c>
      <c r="CG50" s="43"/>
      <c r="CH50" s="43"/>
      <c r="CI50" s="43"/>
      <c r="CJ50" s="43"/>
      <c r="CK50" s="43"/>
      <c r="CL50" s="43"/>
      <c r="CM50" s="43"/>
      <c r="CN50" s="43">
        <v>-657</v>
      </c>
      <c r="CO50" s="43">
        <v>-494</v>
      </c>
      <c r="CP50" s="43">
        <v>-666</v>
      </c>
      <c r="CQ50" s="43"/>
      <c r="CR50" s="43">
        <v>-770</v>
      </c>
      <c r="CS50" s="43">
        <v>-3482</v>
      </c>
      <c r="CT50" s="45">
        <v>-737</v>
      </c>
      <c r="CU50" s="45"/>
      <c r="CV50" s="45"/>
      <c r="CW50" s="45">
        <v>-600</v>
      </c>
      <c r="CX50" s="45">
        <v>-460</v>
      </c>
      <c r="CY50" s="45">
        <f t="shared" si="64"/>
        <v>-332</v>
      </c>
      <c r="CZ50" s="45">
        <f t="shared" si="65"/>
        <v>-1034</v>
      </c>
      <c r="DA50" s="45">
        <f t="shared" si="85"/>
        <v>-119</v>
      </c>
      <c r="DB50" s="45">
        <f t="shared" si="86"/>
        <v>2103</v>
      </c>
      <c r="DC50" s="45">
        <f>+DB50</f>
        <v>2103</v>
      </c>
      <c r="DD50" s="45">
        <f t="shared" ref="DD50:DM50" si="89">+DC50*0.99</f>
        <v>2081.9699999999998</v>
      </c>
      <c r="DE50" s="45">
        <f t="shared" si="89"/>
        <v>2061.1502999999998</v>
      </c>
      <c r="DF50" s="45">
        <f t="shared" si="89"/>
        <v>2040.5387969999997</v>
      </c>
      <c r="DG50" s="45">
        <f t="shared" si="89"/>
        <v>2020.1334090299997</v>
      </c>
      <c r="DH50" s="45">
        <f t="shared" si="89"/>
        <v>1999.9320749396998</v>
      </c>
      <c r="DI50" s="45">
        <f t="shared" si="89"/>
        <v>1979.9327541903028</v>
      </c>
      <c r="DJ50" s="45">
        <f t="shared" si="89"/>
        <v>1960.1334266483998</v>
      </c>
      <c r="DK50" s="45">
        <f t="shared" si="89"/>
        <v>1940.5320923819158</v>
      </c>
      <c r="DL50" s="45">
        <f t="shared" si="89"/>
        <v>1921.1267714580968</v>
      </c>
      <c r="DM50" s="45">
        <f t="shared" si="89"/>
        <v>1901.9155037435157</v>
      </c>
      <c r="DN50" s="39"/>
      <c r="DO50" s="39"/>
      <c r="DP50" s="39"/>
      <c r="DQ50" s="39"/>
      <c r="DR50" s="39"/>
      <c r="DS50" s="39"/>
      <c r="DT50" s="39"/>
      <c r="DU50" s="39"/>
      <c r="DV50" s="39"/>
      <c r="DW50" s="39"/>
      <c r="DX50" s="39"/>
      <c r="DY50" s="39"/>
      <c r="DZ50" s="39"/>
      <c r="EA50" s="39"/>
      <c r="EB50" s="39"/>
      <c r="EC50" s="39"/>
      <c r="ED50" s="39"/>
      <c r="EE50" s="39"/>
      <c r="EF50" s="39"/>
      <c r="EG50" s="39"/>
      <c r="EH50" s="39"/>
      <c r="EI50" s="39"/>
      <c r="EJ50" s="39"/>
      <c r="EK50" s="39"/>
      <c r="EL50" s="39"/>
      <c r="EM50" s="39"/>
      <c r="EN50" s="39"/>
      <c r="EO50" s="39"/>
      <c r="EP50" s="39"/>
      <c r="EQ50" s="39"/>
      <c r="ER50" s="39"/>
      <c r="ES50" s="39"/>
    </row>
    <row r="51" spans="1:149" ht="13" customHeight="1">
      <c r="A51" s="40"/>
      <c r="B51" s="46" t="s">
        <v>137</v>
      </c>
      <c r="C51" s="43">
        <f t="shared" ref="C51:K51" si="90">SUM(C47:C49)-C50</f>
        <v>5152</v>
      </c>
      <c r="D51" s="43">
        <f t="shared" si="90"/>
        <v>5555</v>
      </c>
      <c r="E51" s="43">
        <f t="shared" si="90"/>
        <v>5366</v>
      </c>
      <c r="F51" s="43">
        <f t="shared" si="90"/>
        <v>6673</v>
      </c>
      <c r="G51" s="43">
        <f t="shared" si="90"/>
        <v>6180</v>
      </c>
      <c r="H51" s="43">
        <f t="shared" si="90"/>
        <v>6301</v>
      </c>
      <c r="I51" s="43">
        <f t="shared" si="90"/>
        <v>6018</v>
      </c>
      <c r="J51" s="43">
        <f t="shared" si="90"/>
        <v>7208</v>
      </c>
      <c r="K51" s="43">
        <f t="shared" si="90"/>
        <v>6602</v>
      </c>
      <c r="L51" s="43">
        <f>SUM(L47:L49)-L50</f>
        <v>7384</v>
      </c>
      <c r="M51" s="43">
        <f>SUM(M47:M49)-M50</f>
        <v>7524</v>
      </c>
      <c r="N51" s="43">
        <f>SUM(N47:N49)-N50</f>
        <v>7524</v>
      </c>
      <c r="O51" s="43">
        <f>SUM(O47:O49)-O50</f>
        <v>7158</v>
      </c>
      <c r="P51" s="43"/>
      <c r="Q51" s="43"/>
      <c r="R51" s="43"/>
      <c r="S51" s="43"/>
      <c r="T51" s="43"/>
      <c r="U51" s="43"/>
      <c r="V51" s="43"/>
      <c r="W51" s="43"/>
      <c r="X51" s="43"/>
      <c r="Y51" s="43"/>
      <c r="Z51" s="43"/>
      <c r="AA51" s="43"/>
      <c r="AB51" s="43">
        <f>SUM(AB47:AB50)</f>
        <v>9633</v>
      </c>
      <c r="AC51" s="43"/>
      <c r="AD51" s="43"/>
      <c r="AE51" s="43"/>
      <c r="AF51" s="43"/>
      <c r="AG51" s="43"/>
      <c r="AH51" s="43"/>
      <c r="AI51" s="43"/>
      <c r="AJ51" s="43"/>
      <c r="AK51" s="43"/>
      <c r="AL51" s="43"/>
      <c r="AM51" s="43"/>
      <c r="AN51" s="43"/>
      <c r="AO51" s="43"/>
      <c r="AP51" s="43"/>
      <c r="AQ51" s="43">
        <f t="shared" ref="AQ51:AT51" si="91">SUM(AQ47:AQ50)</f>
        <v>10285</v>
      </c>
      <c r="AR51" s="43">
        <f t="shared" si="91"/>
        <v>10851</v>
      </c>
      <c r="AS51" s="43">
        <f t="shared" si="91"/>
        <v>11534</v>
      </c>
      <c r="AT51" s="43">
        <f t="shared" si="91"/>
        <v>14296</v>
      </c>
      <c r="AU51" s="43">
        <f t="shared" ref="AU51:AW51" si="92">SUM(AU47:AU50)</f>
        <v>10320</v>
      </c>
      <c r="AV51" s="43">
        <f t="shared" si="92"/>
        <v>11735</v>
      </c>
      <c r="AW51" s="43">
        <f t="shared" si="92"/>
        <v>12283</v>
      </c>
      <c r="AX51" s="43">
        <f t="shared" ref="AX51:BB51" si="93">SUM(AX47:AX50)</f>
        <v>15112</v>
      </c>
      <c r="AY51" s="43">
        <f t="shared" si="93"/>
        <v>12187</v>
      </c>
      <c r="AZ51" s="43">
        <f t="shared" si="93"/>
        <v>11396</v>
      </c>
      <c r="BA51" s="43">
        <f t="shared" si="93"/>
        <v>12964</v>
      </c>
      <c r="BB51" s="43">
        <f t="shared" si="93"/>
        <v>15341</v>
      </c>
      <c r="BC51" s="43">
        <f t="shared" ref="BC51:BH51" si="94">SUM(BC47:BC50)</f>
        <v>13011</v>
      </c>
      <c r="BD51" s="43">
        <f t="shared" si="94"/>
        <v>12715</v>
      </c>
      <c r="BE51" s="43">
        <f t="shared" si="94"/>
        <v>14314</v>
      </c>
      <c r="BF51" s="43">
        <f t="shared" si="94"/>
        <v>18458</v>
      </c>
      <c r="BG51" s="43">
        <f t="shared" si="94"/>
        <v>15967</v>
      </c>
      <c r="BH51" s="43">
        <f t="shared" si="94"/>
        <v>16805</v>
      </c>
      <c r="BI51" s="43">
        <f t="shared" ref="BI51:BN51" si="95">SUM(BI47:BI50)</f>
        <v>18182</v>
      </c>
      <c r="BJ51" s="43">
        <f t="shared" si="95"/>
        <v>22743</v>
      </c>
      <c r="BK51" s="43">
        <f t="shared" si="95"/>
        <v>20178</v>
      </c>
      <c r="BL51" s="43">
        <f t="shared" si="95"/>
        <v>22556</v>
      </c>
      <c r="BM51" s="43">
        <f t="shared" si="95"/>
        <v>22105</v>
      </c>
      <c r="BN51" s="43">
        <f t="shared" si="95"/>
        <v>29083</v>
      </c>
      <c r="BO51" s="43">
        <f>SUM(BO47:BO50)</f>
        <v>23587</v>
      </c>
      <c r="BP51" s="43">
        <f t="shared" ref="BP51:BR51" si="96">SUM(BP47:BP50)</f>
        <v>31852</v>
      </c>
      <c r="BQ51" s="43">
        <f t="shared" si="96"/>
        <v>26181</v>
      </c>
      <c r="BR51" s="43">
        <f t="shared" si="96"/>
        <v>35922</v>
      </c>
      <c r="BS51" s="43">
        <f t="shared" ref="BS51:BU51" si="97">SUM(BS47:BS50)</f>
        <v>26406</v>
      </c>
      <c r="BT51" s="43">
        <f t="shared" si="97"/>
        <v>30562</v>
      </c>
      <c r="BU51" s="43">
        <f t="shared" si="97"/>
        <v>33390</v>
      </c>
      <c r="BV51" s="43"/>
      <c r="BW51" s="43"/>
      <c r="BX51" s="43"/>
      <c r="BY51" s="43"/>
      <c r="BZ51" s="43"/>
      <c r="CA51" s="43"/>
      <c r="CB51" s="43">
        <f>CB46+SUM(CB47:CB50)</f>
        <v>2933</v>
      </c>
      <c r="CC51" s="43">
        <f>CC46+SUM(CC47:CC50)</f>
        <v>3527</v>
      </c>
      <c r="CD51" s="43">
        <f>CD46+SUM(CD47:CD50)</f>
        <v>4703</v>
      </c>
      <c r="CE51" s="43">
        <f>CE46+SUM(CE47:CE50)</f>
        <v>5410</v>
      </c>
      <c r="CF51" s="43">
        <f>CF46+SUM(CF47:CF50)</f>
        <v>5927</v>
      </c>
      <c r="CG51" s="43"/>
      <c r="CH51" s="43"/>
      <c r="CI51" s="43"/>
      <c r="CJ51" s="43"/>
      <c r="CK51" s="43"/>
      <c r="CL51" s="43"/>
      <c r="CM51" s="43">
        <f>SUM(CM47:CM49)</f>
        <v>26048</v>
      </c>
      <c r="CN51" s="43">
        <f>SUM(CN47:CN50)</f>
        <v>30205</v>
      </c>
      <c r="CO51" s="43">
        <f>SUM(CO47:CO50)</f>
        <v>31383</v>
      </c>
      <c r="CP51" s="43">
        <f>SUM(CP47:CP50)</f>
        <v>35087</v>
      </c>
      <c r="CQ51" s="43">
        <f>SUM(CQ47:CQ49)</f>
        <v>0</v>
      </c>
      <c r="CR51" s="43">
        <f>SUM(CR47:CR50)</f>
        <v>39752</v>
      </c>
      <c r="CS51" s="43">
        <f>SUM(CS47:CS50)</f>
        <v>42295</v>
      </c>
      <c r="CT51" s="43">
        <f>SUM(CT47:CT50)</f>
        <v>46165</v>
      </c>
      <c r="CU51" s="45">
        <f>SUM(CU47:CU49)</f>
        <v>46138</v>
      </c>
      <c r="CV51" s="45">
        <f t="shared" ref="CV51" si="98">SUM(CV47:CV49)</f>
        <v>48118</v>
      </c>
      <c r="CW51" s="45">
        <f>SUM(CW47:CW50)</f>
        <v>49450</v>
      </c>
      <c r="CX51" s="45">
        <f t="shared" ref="CX51:DB51" si="99">SUM(CX47:CX50)</f>
        <v>51888</v>
      </c>
      <c r="CY51" s="45">
        <f t="shared" si="99"/>
        <v>58498</v>
      </c>
      <c r="CZ51" s="45">
        <f t="shared" si="99"/>
        <v>73697</v>
      </c>
      <c r="DA51" s="45">
        <f>SUM(DA47:DA50)</f>
        <v>93922</v>
      </c>
      <c r="DB51" s="45">
        <f t="shared" si="99"/>
        <v>117542</v>
      </c>
      <c r="DC51" s="45">
        <f t="shared" ref="DC51:DH51" si="100">SUM(DC47:DC50)</f>
        <v>117542</v>
      </c>
      <c r="DD51" s="45">
        <f t="shared" si="100"/>
        <v>67154.318100000004</v>
      </c>
      <c r="DE51" s="45">
        <f t="shared" si="100"/>
        <v>63926.750595000012</v>
      </c>
      <c r="DF51" s="45">
        <f t="shared" si="100"/>
        <v>60890.051381249999</v>
      </c>
      <c r="DG51" s="45">
        <f t="shared" si="100"/>
        <v>62028.22386502751</v>
      </c>
      <c r="DH51" s="45">
        <f t="shared" si="100"/>
        <v>60527.367470087716</v>
      </c>
      <c r="DI51" s="45">
        <f t="shared" ref="DI51:DM51" si="101">SUM(DI47:DI50)</f>
        <v>56513.648687013374</v>
      </c>
      <c r="DJ51" s="45">
        <f t="shared" si="101"/>
        <v>54163.584313070991</v>
      </c>
      <c r="DK51" s="45">
        <f t="shared" si="101"/>
        <v>53283.214669083442</v>
      </c>
      <c r="DL51" s="45">
        <f t="shared" si="101"/>
        <v>53819.533768477057</v>
      </c>
      <c r="DM51" s="45">
        <f t="shared" si="101"/>
        <v>55843.601942477573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  <c r="EP51" s="39"/>
      <c r="EQ51" s="39"/>
      <c r="ER51" s="39"/>
      <c r="ES51" s="39"/>
    </row>
    <row r="52" spans="1:149" ht="13" customHeight="1">
      <c r="A52" s="40"/>
      <c r="B52" s="46" t="s">
        <v>192</v>
      </c>
      <c r="C52" s="43">
        <f t="shared" ref="C52:K52" si="102">C46-C51</f>
        <v>3049</v>
      </c>
      <c r="D52" s="43">
        <f t="shared" si="102"/>
        <v>3001</v>
      </c>
      <c r="E52" s="43">
        <f t="shared" si="102"/>
        <v>3274</v>
      </c>
      <c r="F52" s="43">
        <f t="shared" si="102"/>
        <v>3374</v>
      </c>
      <c r="G52" s="43">
        <f t="shared" si="102"/>
        <v>3810</v>
      </c>
      <c r="H52" s="43">
        <f t="shared" si="102"/>
        <v>4090</v>
      </c>
      <c r="I52" s="43">
        <f t="shared" si="102"/>
        <v>3814</v>
      </c>
      <c r="J52" s="43">
        <f t="shared" si="102"/>
        <v>3219</v>
      </c>
      <c r="K52" s="43">
        <f t="shared" si="102"/>
        <v>4382</v>
      </c>
      <c r="L52" s="43">
        <f>L46-L51</f>
        <v>5041</v>
      </c>
      <c r="M52" s="43">
        <f>M46-M51</f>
        <v>5124</v>
      </c>
      <c r="N52" s="43">
        <f>N46-N51</f>
        <v>5375.2000000000007</v>
      </c>
      <c r="O52" s="43">
        <f>O46-O51</f>
        <v>5418</v>
      </c>
      <c r="P52" s="43"/>
      <c r="Q52" s="43"/>
      <c r="R52" s="43"/>
      <c r="S52" s="43"/>
      <c r="T52" s="43"/>
      <c r="U52" s="43"/>
      <c r="V52" s="43"/>
      <c r="W52" s="43"/>
      <c r="X52" s="43"/>
      <c r="Y52" s="43"/>
      <c r="Z52" s="43"/>
      <c r="AA52" s="43"/>
      <c r="AB52" s="43">
        <f>AB46-AB51</f>
        <v>8325</v>
      </c>
      <c r="AC52" s="43"/>
      <c r="AD52" s="43"/>
      <c r="AE52" s="43"/>
      <c r="AF52" s="43"/>
      <c r="AG52" s="43"/>
      <c r="AH52" s="43"/>
      <c r="AI52" s="43"/>
      <c r="AJ52" s="43"/>
      <c r="AK52" s="43"/>
      <c r="AL52" s="43"/>
      <c r="AM52" s="43"/>
      <c r="AN52" s="43"/>
      <c r="AO52" s="43"/>
      <c r="AP52" s="43"/>
      <c r="AQ52" s="43">
        <f t="shared" ref="AQ52:AT52" si="103">AQ46-AQ51</f>
        <v>12448</v>
      </c>
      <c r="AR52" s="43">
        <f t="shared" si="103"/>
        <v>12204</v>
      </c>
      <c r="AS52" s="43">
        <f t="shared" si="103"/>
        <v>11813</v>
      </c>
      <c r="AT52" s="43">
        <f t="shared" si="103"/>
        <v>10783</v>
      </c>
      <c r="AU52" s="43">
        <f t="shared" ref="AU52:AW52" si="104">AU46-AU51</f>
        <v>14239</v>
      </c>
      <c r="AV52" s="43">
        <f t="shared" si="104"/>
        <v>13452</v>
      </c>
      <c r="AW52" s="43">
        <f t="shared" si="104"/>
        <v>12919</v>
      </c>
      <c r="AX52" s="43">
        <f t="shared" ref="AX52:BB52" si="105">AX46-AX51</f>
        <v>11873</v>
      </c>
      <c r="AY52" s="43">
        <f t="shared" si="105"/>
        <v>16302</v>
      </c>
      <c r="AZ52" s="43">
        <f t="shared" si="105"/>
        <v>13838</v>
      </c>
      <c r="BA52" s="43">
        <f t="shared" si="105"/>
        <v>12808</v>
      </c>
      <c r="BB52" s="43">
        <f t="shared" si="105"/>
        <v>11178</v>
      </c>
      <c r="BC52" s="43">
        <f t="shared" ref="BC52:BH52" si="106">BC46-BC51</f>
        <v>14982</v>
      </c>
      <c r="BD52" s="43">
        <f t="shared" si="106"/>
        <v>14779</v>
      </c>
      <c r="BE52" s="43">
        <f t="shared" si="106"/>
        <v>15249</v>
      </c>
      <c r="BF52" s="43">
        <f t="shared" si="106"/>
        <v>13634</v>
      </c>
      <c r="BG52" s="43">
        <f t="shared" si="106"/>
        <v>19147</v>
      </c>
      <c r="BH52" s="43">
        <f t="shared" si="106"/>
        <v>18391</v>
      </c>
      <c r="BI52" s="43">
        <f t="shared" ref="BI52:BN52" si="107">BI46-BI51</f>
        <v>20184</v>
      </c>
      <c r="BJ52" s="43">
        <f t="shared" si="107"/>
        <v>17087</v>
      </c>
      <c r="BK52" s="43">
        <f t="shared" si="107"/>
        <v>25007</v>
      </c>
      <c r="BL52" s="43">
        <f t="shared" si="107"/>
        <v>23888</v>
      </c>
      <c r="BM52" s="43">
        <f t="shared" si="107"/>
        <v>26913</v>
      </c>
      <c r="BN52" s="43">
        <f t="shared" si="107"/>
        <v>26766</v>
      </c>
      <c r="BO52" s="43">
        <f>BO46-BO51</f>
        <v>31846</v>
      </c>
      <c r="BP52" s="43">
        <f>BP46-BP51</f>
        <v>25934</v>
      </c>
      <c r="BQ52" s="43">
        <f t="shared" ref="BQ52:BR52" si="108">BQ46-BQ51</f>
        <v>33822</v>
      </c>
      <c r="BR52" s="43">
        <f t="shared" si="108"/>
        <v>36737</v>
      </c>
      <c r="BS52" s="43">
        <f t="shared" ref="BS52:BU52" si="109">BS46-BS51</f>
        <v>38791</v>
      </c>
      <c r="BT52" s="43">
        <f t="shared" si="109"/>
        <v>33449</v>
      </c>
      <c r="BU52" s="43">
        <f t="shared" si="109"/>
        <v>23682</v>
      </c>
      <c r="BV52" s="43"/>
      <c r="BW52" s="43"/>
      <c r="BX52" s="43"/>
      <c r="BY52" s="43"/>
      <c r="BZ52" s="43"/>
      <c r="CA52" s="43"/>
      <c r="CB52" s="43">
        <v>-26</v>
      </c>
      <c r="CC52" s="43">
        <v>2</v>
      </c>
      <c r="CD52" s="43">
        <v>3</v>
      </c>
      <c r="CE52" s="43">
        <v>49</v>
      </c>
      <c r="CF52" s="43">
        <v>27</v>
      </c>
      <c r="CG52" s="43">
        <f>-63-41-45+78+9-2-2+7</f>
        <v>-59</v>
      </c>
      <c r="CH52" s="43">
        <f>-38-44+7-32-31+4+5+12</f>
        <v>-117</v>
      </c>
      <c r="CI52" s="43"/>
      <c r="CJ52" s="43"/>
      <c r="CK52" s="43"/>
      <c r="CL52" s="43"/>
      <c r="CM52" s="43">
        <f t="shared" ref="CM52:CT52" si="110">CM46-CM51</f>
        <v>14592</v>
      </c>
      <c r="CN52" s="43">
        <f t="shared" si="110"/>
        <v>18891</v>
      </c>
      <c r="CO52" s="43">
        <f>CO46-CO51</f>
        <v>22374</v>
      </c>
      <c r="CP52" s="43">
        <f>CP46-CP51</f>
        <v>29474</v>
      </c>
      <c r="CQ52" s="43">
        <f t="shared" si="110"/>
        <v>0</v>
      </c>
      <c r="CR52" s="43">
        <f t="shared" si="110"/>
        <v>34492</v>
      </c>
      <c r="CS52" s="43">
        <f t="shared" si="110"/>
        <v>49444</v>
      </c>
      <c r="CT52" s="43">
        <f t="shared" si="110"/>
        <v>48432</v>
      </c>
      <c r="CU52" s="45">
        <f>CU46-CU51</f>
        <v>47926</v>
      </c>
      <c r="CV52" s="45">
        <f t="shared" ref="CV52:DB52" si="111">CV46-CV51</f>
        <v>46096</v>
      </c>
      <c r="CW52" s="45">
        <f t="shared" si="111"/>
        <v>52483</v>
      </c>
      <c r="CX52" s="45">
        <f t="shared" si="111"/>
        <v>54126</v>
      </c>
      <c r="CY52" s="45">
        <f t="shared" si="111"/>
        <v>58644</v>
      </c>
      <c r="CZ52" s="45">
        <f t="shared" si="111"/>
        <v>74809</v>
      </c>
      <c r="DA52" s="45">
        <f>DA46-DA51</f>
        <v>102574</v>
      </c>
      <c r="DB52" s="45">
        <f t="shared" si="111"/>
        <v>128339</v>
      </c>
      <c r="DC52" s="45">
        <f t="shared" ref="DC52:DH52" si="112">DC46-DC51</f>
        <v>151110.26649999997</v>
      </c>
      <c r="DD52" s="45">
        <f t="shared" si="112"/>
        <v>187204.391325</v>
      </c>
      <c r="DE52" s="45">
        <f t="shared" si="112"/>
        <v>177025.26835875001</v>
      </c>
      <c r="DF52" s="45">
        <f t="shared" si="112"/>
        <v>167463.36262481246</v>
      </c>
      <c r="DG52" s="45">
        <f t="shared" si="112"/>
        <v>171466.71624073191</v>
      </c>
      <c r="DH52" s="45">
        <f t="shared" si="112"/>
        <v>166890.18307038365</v>
      </c>
      <c r="DI52" s="45">
        <f t="shared" ref="DI52:DM52" si="113">DI46-DI51</f>
        <v>154143.83463746606</v>
      </c>
      <c r="DJ52" s="45">
        <f t="shared" si="113"/>
        <v>146801.38065810662</v>
      </c>
      <c r="DK52" s="45">
        <f t="shared" si="113"/>
        <v>144232.48199874075</v>
      </c>
      <c r="DL52" s="45">
        <f t="shared" si="113"/>
        <v>146264.89872852783</v>
      </c>
      <c r="DM52" s="45">
        <f t="shared" si="113"/>
        <v>153129.60615421974</v>
      </c>
      <c r="DN52" s="39"/>
      <c r="DO52" s="39"/>
      <c r="DP52" s="39"/>
      <c r="DQ52" s="39"/>
      <c r="DR52" s="39"/>
      <c r="DS52" s="39"/>
      <c r="DT52" s="39"/>
      <c r="DU52" s="39"/>
      <c r="DV52" s="39"/>
      <c r="DW52" s="39"/>
      <c r="DX52" s="39"/>
      <c r="DY52" s="39"/>
      <c r="DZ52" s="39"/>
      <c r="EA52" s="39"/>
      <c r="EB52" s="39"/>
      <c r="EC52" s="39"/>
      <c r="ED52" s="39"/>
      <c r="EE52" s="39"/>
      <c r="EF52" s="39"/>
      <c r="EG52" s="39"/>
      <c r="EH52" s="39"/>
      <c r="EI52" s="39"/>
      <c r="EJ52" s="39"/>
      <c r="EK52" s="39"/>
      <c r="EL52" s="39"/>
      <c r="EM52" s="39"/>
      <c r="EN52" s="39"/>
      <c r="EO52" s="39"/>
      <c r="EP52" s="39"/>
      <c r="EQ52" s="39"/>
      <c r="ER52" s="39"/>
      <c r="ES52" s="39"/>
    </row>
    <row r="53" spans="1:149" ht="13" customHeight="1">
      <c r="A53" s="40"/>
      <c r="B53" s="46" t="s">
        <v>195</v>
      </c>
      <c r="C53" s="43">
        <v>-67</v>
      </c>
      <c r="D53" s="43">
        <v>-3</v>
      </c>
      <c r="E53" s="43">
        <v>-58</v>
      </c>
      <c r="F53" s="43">
        <v>4</v>
      </c>
      <c r="G53" s="43">
        <v>-35</v>
      </c>
      <c r="H53" s="43">
        <v>-11</v>
      </c>
      <c r="I53" s="43">
        <v>-7</v>
      </c>
      <c r="J53" s="43">
        <v>-2</v>
      </c>
      <c r="K53" s="43"/>
      <c r="L53" s="43"/>
      <c r="M53" s="43"/>
      <c r="N53" s="43"/>
      <c r="O53" s="43"/>
      <c r="P53" s="43"/>
      <c r="Q53" s="43"/>
      <c r="R53" s="43"/>
      <c r="S53" s="43"/>
      <c r="T53" s="43"/>
      <c r="U53" s="43"/>
      <c r="V53" s="43"/>
      <c r="W53" s="43"/>
      <c r="X53" s="43"/>
      <c r="Y53" s="43"/>
      <c r="Z53" s="43"/>
      <c r="AA53" s="43"/>
      <c r="AB53" s="43"/>
      <c r="AC53" s="43"/>
      <c r="AD53" s="43"/>
      <c r="AE53" s="43"/>
      <c r="AF53" s="43"/>
      <c r="AG53" s="43"/>
      <c r="AH53" s="43"/>
      <c r="AI53" s="43"/>
      <c r="AJ53" s="43"/>
      <c r="AK53" s="43"/>
      <c r="AL53" s="43"/>
      <c r="AM53" s="43"/>
      <c r="AN53" s="43"/>
      <c r="AO53" s="43"/>
      <c r="AP53" s="43"/>
      <c r="AQ53" s="43"/>
      <c r="AR53" s="43"/>
      <c r="AS53" s="43"/>
      <c r="AT53" s="43"/>
      <c r="AU53" s="43"/>
      <c r="AV53" s="43"/>
      <c r="AW53" s="43"/>
      <c r="AX53" s="43"/>
      <c r="AY53" s="43"/>
      <c r="AZ53" s="43"/>
      <c r="BA53" s="43"/>
      <c r="BB53" s="43"/>
      <c r="BC53" s="43"/>
      <c r="BD53" s="43"/>
      <c r="BE53" s="43"/>
      <c r="BF53" s="43"/>
      <c r="BG53" s="43"/>
      <c r="BH53" s="43"/>
      <c r="BI53" s="43"/>
      <c r="BJ53" s="43"/>
      <c r="BK53" s="43"/>
      <c r="BL53" s="43"/>
      <c r="BM53" s="43"/>
      <c r="BN53" s="43"/>
      <c r="BO53" s="43"/>
      <c r="BP53" s="43"/>
      <c r="BQ53" s="43"/>
      <c r="BR53" s="43"/>
      <c r="BS53" s="43"/>
      <c r="BT53" s="43"/>
      <c r="BU53" s="43"/>
      <c r="BV53" s="43"/>
      <c r="BW53" s="43"/>
      <c r="BX53" s="43"/>
      <c r="BY53" s="43"/>
      <c r="BZ53" s="43"/>
      <c r="CA53" s="43"/>
      <c r="CB53" s="43">
        <v>379</v>
      </c>
      <c r="CC53" s="43">
        <v>218</v>
      </c>
      <c r="CD53" s="43">
        <v>539</v>
      </c>
      <c r="CE53" s="43">
        <v>368</v>
      </c>
      <c r="CF53" s="43">
        <v>555</v>
      </c>
      <c r="CG53" s="43">
        <f>421+446+177+438</f>
        <v>1482</v>
      </c>
      <c r="CH53" s="43">
        <f>178+104+125+491</f>
        <v>898</v>
      </c>
      <c r="CI53" s="37"/>
      <c r="CJ53" s="37"/>
      <c r="CK53" s="37"/>
      <c r="CL53" s="37"/>
      <c r="CM53" s="37"/>
      <c r="CN53" s="43"/>
      <c r="CO53" s="37"/>
      <c r="CP53" s="37"/>
      <c r="CQ53" s="43"/>
      <c r="CR53" s="43"/>
      <c r="CS53" s="43"/>
      <c r="CT53" s="45"/>
      <c r="CU53" s="45"/>
      <c r="CV53" s="45"/>
      <c r="CW53" s="45"/>
      <c r="CX53" s="45"/>
      <c r="CY53" s="45"/>
      <c r="CZ53" s="45"/>
      <c r="DA53" s="45"/>
      <c r="DB53" s="45"/>
      <c r="DC53" s="45"/>
      <c r="DD53" s="45"/>
      <c r="DE53" s="45"/>
      <c r="DF53" s="45"/>
      <c r="DG53" s="45"/>
      <c r="DH53" s="45"/>
      <c r="DI53" s="39"/>
      <c r="DJ53" s="39"/>
      <c r="DK53" s="39"/>
      <c r="DL53" s="39"/>
      <c r="DM53" s="39"/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  <c r="EP53" s="39"/>
      <c r="EQ53" s="39"/>
      <c r="ER53" s="39"/>
      <c r="ES53" s="39"/>
    </row>
    <row r="54" spans="1:149" ht="13" customHeight="1">
      <c r="A54" s="40"/>
      <c r="B54" s="46" t="s">
        <v>138</v>
      </c>
      <c r="C54" s="43">
        <v>474</v>
      </c>
      <c r="D54" s="43">
        <v>429</v>
      </c>
      <c r="E54" s="43">
        <v>306</v>
      </c>
      <c r="F54" s="43">
        <v>-82</v>
      </c>
      <c r="G54" s="43">
        <v>142</v>
      </c>
      <c r="H54" s="43">
        <v>166</v>
      </c>
      <c r="I54" s="43">
        <v>9</v>
      </c>
      <c r="J54" s="43">
        <v>58</v>
      </c>
      <c r="K54" s="43"/>
      <c r="L54" s="43"/>
      <c r="M54" s="43"/>
      <c r="N54" s="43"/>
      <c r="O54" s="43"/>
      <c r="P54" s="43"/>
      <c r="Q54" s="43"/>
      <c r="R54" s="43"/>
      <c r="S54" s="43"/>
      <c r="T54" s="43"/>
      <c r="U54" s="43"/>
      <c r="V54" s="43"/>
      <c r="W54" s="43"/>
      <c r="X54" s="43"/>
      <c r="Y54" s="43"/>
      <c r="Z54" s="43"/>
      <c r="AA54" s="43"/>
      <c r="AB54" s="43">
        <v>256</v>
      </c>
      <c r="AC54" s="43"/>
      <c r="AD54" s="43"/>
      <c r="AE54" s="43"/>
      <c r="AF54" s="43"/>
      <c r="AG54" s="43"/>
      <c r="AH54" s="43"/>
      <c r="AI54" s="43"/>
      <c r="AJ54" s="43"/>
      <c r="AK54" s="43"/>
      <c r="AL54" s="43"/>
      <c r="AM54" s="43"/>
      <c r="AN54" s="43"/>
      <c r="AO54" s="43"/>
      <c r="AP54" s="43"/>
      <c r="AQ54" s="43"/>
      <c r="AR54" s="43"/>
      <c r="AS54" s="43"/>
      <c r="AT54" s="43"/>
      <c r="AU54" s="43"/>
      <c r="AV54" s="43"/>
      <c r="AW54" s="43"/>
      <c r="AX54" s="43"/>
      <c r="AY54" s="43"/>
      <c r="AZ54" s="43"/>
      <c r="BA54" s="43"/>
      <c r="BB54" s="43"/>
      <c r="BC54" s="43"/>
      <c r="BD54" s="43"/>
      <c r="BE54" s="43"/>
      <c r="BF54" s="43"/>
      <c r="BG54" s="43"/>
      <c r="BH54" s="43"/>
      <c r="BI54" s="43"/>
      <c r="BJ54" s="43"/>
      <c r="BK54" s="43"/>
      <c r="BL54" s="43"/>
      <c r="BM54" s="43"/>
      <c r="BN54" s="43"/>
      <c r="BO54" s="43"/>
      <c r="BP54" s="43"/>
      <c r="BQ54" s="43"/>
      <c r="BR54" s="43"/>
      <c r="BS54" s="43"/>
      <c r="BT54" s="43"/>
      <c r="BU54" s="43"/>
      <c r="BV54" s="43"/>
      <c r="BW54" s="43"/>
      <c r="BX54" s="43"/>
      <c r="BY54" s="43"/>
      <c r="BZ54" s="43"/>
      <c r="CA54" s="43"/>
      <c r="CB54" s="43">
        <v>-110</v>
      </c>
      <c r="CC54" s="43">
        <v>-398</v>
      </c>
      <c r="CD54" s="43">
        <v>-361</v>
      </c>
      <c r="CE54" s="43">
        <v>-132</v>
      </c>
      <c r="CF54" s="43">
        <v>-181</v>
      </c>
      <c r="CG54" s="43">
        <f>-133-116-103-117</f>
        <v>-469</v>
      </c>
      <c r="CH54" s="43">
        <f>-22-44-52-186</f>
        <v>-304</v>
      </c>
      <c r="CI54" s="37"/>
      <c r="CJ54" s="37"/>
      <c r="CK54" s="37"/>
      <c r="CL54" s="37"/>
      <c r="CM54" s="37"/>
      <c r="CN54" s="43"/>
      <c r="CO54" s="43"/>
      <c r="CP54" s="43"/>
      <c r="CQ54" s="43"/>
      <c r="CR54" s="43"/>
      <c r="CS54" s="43"/>
      <c r="CT54" s="45"/>
      <c r="CU54" s="45"/>
      <c r="CV54" s="45"/>
      <c r="CW54" s="45">
        <v>-3930</v>
      </c>
      <c r="CX54" s="45">
        <v>-996</v>
      </c>
      <c r="CY54" s="45"/>
      <c r="CZ54" s="45"/>
      <c r="DA54" s="45"/>
      <c r="DB54" s="45"/>
      <c r="DC54" s="45"/>
      <c r="DD54" s="45"/>
      <c r="DE54" s="45"/>
      <c r="DF54" s="45"/>
      <c r="DG54" s="45"/>
      <c r="DH54" s="45"/>
      <c r="DI54" s="39"/>
      <c r="DJ54" s="39"/>
      <c r="DK54" s="39"/>
      <c r="DL54" s="39"/>
      <c r="DM54" s="39"/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  <c r="EP54" s="39"/>
      <c r="EQ54" s="39"/>
      <c r="ER54" s="39"/>
      <c r="ES54" s="39"/>
    </row>
    <row r="55" spans="1:149" ht="13" customHeight="1">
      <c r="A55" s="40"/>
      <c r="B55" s="46" t="s">
        <v>139</v>
      </c>
      <c r="C55" s="43">
        <v>368</v>
      </c>
      <c r="D55" s="43">
        <v>-21</v>
      </c>
      <c r="E55" s="43">
        <v>66</v>
      </c>
      <c r="F55" s="43">
        <v>-226</v>
      </c>
      <c r="G55" s="43">
        <v>-412</v>
      </c>
      <c r="H55" s="43">
        <v>-361</v>
      </c>
      <c r="I55" s="43">
        <v>-209</v>
      </c>
      <c r="J55" s="43">
        <v>-283</v>
      </c>
      <c r="K55" s="43">
        <v>-65</v>
      </c>
      <c r="L55" s="43">
        <f>-4+146-575</f>
        <v>-433</v>
      </c>
      <c r="M55" s="43">
        <f>-22+31-477</f>
        <v>-468</v>
      </c>
      <c r="N55" s="43">
        <f>+M55</f>
        <v>-468</v>
      </c>
      <c r="O55" s="43">
        <f>84-212</f>
        <v>-128</v>
      </c>
      <c r="P55" s="43"/>
      <c r="Q55" s="43"/>
      <c r="R55" s="43"/>
      <c r="S55" s="43"/>
      <c r="T55" s="43"/>
      <c r="U55" s="43"/>
      <c r="V55" s="43"/>
      <c r="W55" s="43"/>
      <c r="X55" s="43"/>
      <c r="Y55" s="43"/>
      <c r="Z55" s="43"/>
      <c r="AA55" s="43"/>
      <c r="AB55" s="38"/>
      <c r="AC55" s="43"/>
      <c r="AD55" s="43"/>
      <c r="AE55" s="43"/>
      <c r="AF55" s="43"/>
      <c r="AG55" s="43"/>
      <c r="AH55" s="43"/>
      <c r="AI55" s="43"/>
      <c r="AJ55" s="43"/>
      <c r="AK55" s="43"/>
      <c r="AL55" s="43"/>
      <c r="AM55" s="43"/>
      <c r="AN55" s="43"/>
      <c r="AO55" s="43"/>
      <c r="AP55" s="43"/>
      <c r="AQ55" s="43">
        <f>1198-37</f>
        <v>1161</v>
      </c>
      <c r="AR55" s="43">
        <f>1039-745</f>
        <v>294</v>
      </c>
      <c r="AS55" s="43">
        <f>-78-597</f>
        <v>-675</v>
      </c>
      <c r="AT55" s="43">
        <v>-413</v>
      </c>
      <c r="AU55" s="43">
        <f>13-1030</f>
        <v>-1017</v>
      </c>
      <c r="AV55" s="43">
        <f>15-1322</f>
        <v>-1307</v>
      </c>
      <c r="AW55" s="43">
        <f>17-829</f>
        <v>-812</v>
      </c>
      <c r="AX55" s="43">
        <v>794</v>
      </c>
      <c r="AY55" s="43">
        <v>1281</v>
      </c>
      <c r="AZ55" s="43">
        <v>422</v>
      </c>
      <c r="BA55" s="43">
        <v>117</v>
      </c>
      <c r="BB55" s="43">
        <v>-824</v>
      </c>
      <c r="BC55" s="43">
        <v>-956</v>
      </c>
      <c r="BD55" s="43">
        <f>-90-48</f>
        <v>-138</v>
      </c>
      <c r="BE55" s="43">
        <v>137</v>
      </c>
      <c r="BF55" s="43">
        <v>521</v>
      </c>
      <c r="BG55" s="43">
        <v>1228</v>
      </c>
      <c r="BH55" s="43">
        <f>-1656+3252</f>
        <v>1596</v>
      </c>
      <c r="BI55" s="43">
        <f>-1573+3725</f>
        <v>2152</v>
      </c>
      <c r="BJ55" s="43">
        <v>771</v>
      </c>
      <c r="BK55" s="43">
        <v>270</v>
      </c>
      <c r="BL55" s="43">
        <v>-366</v>
      </c>
      <c r="BM55" s="43">
        <v>-1150</v>
      </c>
      <c r="BN55" s="43">
        <v>-854</v>
      </c>
      <c r="BO55" s="43">
        <v>72</v>
      </c>
      <c r="BP55" s="43">
        <f>960-1562</f>
        <v>-602</v>
      </c>
      <c r="BQ55" s="43">
        <v>562</v>
      </c>
      <c r="BR55" s="43">
        <v>-1180</v>
      </c>
      <c r="BS55" s="43">
        <v>-1758</v>
      </c>
      <c r="BT55" s="43">
        <f>5314-4958</f>
        <v>356</v>
      </c>
      <c r="BU55" s="43">
        <f>307+1528</f>
        <v>1835</v>
      </c>
      <c r="BV55" s="43"/>
      <c r="BW55" s="43"/>
      <c r="BX55" s="43"/>
      <c r="BY55" s="43"/>
      <c r="BZ55" s="43"/>
      <c r="CA55" s="43"/>
      <c r="CB55" s="43">
        <f t="shared" ref="CB55:CH55" si="114">CB51+SUM(CB52:CB54)</f>
        <v>3176</v>
      </c>
      <c r="CC55" s="43">
        <f t="shared" si="114"/>
        <v>3349</v>
      </c>
      <c r="CD55" s="43">
        <f t="shared" si="114"/>
        <v>4884</v>
      </c>
      <c r="CE55" s="43">
        <f t="shared" si="114"/>
        <v>5695</v>
      </c>
      <c r="CF55" s="43">
        <f t="shared" si="114"/>
        <v>6328</v>
      </c>
      <c r="CG55" s="43">
        <f t="shared" si="114"/>
        <v>954</v>
      </c>
      <c r="CH55" s="43">
        <f t="shared" si="114"/>
        <v>477</v>
      </c>
      <c r="CI55" s="37"/>
      <c r="CJ55" s="37"/>
      <c r="CK55" s="37"/>
      <c r="CL55" s="37"/>
      <c r="CM55" s="37"/>
      <c r="CN55" s="43">
        <f>1452-2057</f>
        <v>-605</v>
      </c>
      <c r="CO55" s="43">
        <f>514-963</f>
        <v>-449</v>
      </c>
      <c r="CP55" s="43">
        <f>125-1788</f>
        <v>-1663</v>
      </c>
      <c r="CQ55" s="43"/>
      <c r="CR55" s="43">
        <f>167-563</f>
        <v>-396</v>
      </c>
      <c r="CS55" s="43">
        <f>85-6046</f>
        <v>-5961</v>
      </c>
      <c r="CT55" s="45">
        <f>92-726</f>
        <v>-634</v>
      </c>
      <c r="CU55" s="45"/>
      <c r="CV55" s="45"/>
      <c r="CW55" s="45"/>
      <c r="CX55" s="45"/>
      <c r="CY55" s="45">
        <f t="shared" ref="CY55" si="115">SUM(BC55:BF55)</f>
        <v>-436</v>
      </c>
      <c r="CZ55" s="45">
        <f t="shared" ref="CZ55:CZ57" si="116">SUM(BG55:BJ55)</f>
        <v>5747</v>
      </c>
      <c r="DA55" s="45">
        <f t="shared" ref="DA55" si="117">SUM(BK55:BN55)</f>
        <v>-2100</v>
      </c>
      <c r="DB55" s="45">
        <f t="shared" ref="DB55" si="118">SUM(BO55:BR55)</f>
        <v>-1148</v>
      </c>
      <c r="DC55" s="45">
        <f>+DB78*$DQ$60</f>
        <v>750.07</v>
      </c>
      <c r="DD55" s="45">
        <f t="shared" ref="DD55:DM55" si="119">+DC78*$DQ$60</f>
        <v>-452.81157199999973</v>
      </c>
      <c r="DE55" s="45">
        <f t="shared" si="119"/>
        <v>-1954.0691951759998</v>
      </c>
      <c r="DF55" s="45">
        <f t="shared" si="119"/>
        <v>-3385.9038956074078</v>
      </c>
      <c r="DG55" s="45">
        <f t="shared" si="119"/>
        <v>-4752.6980277707671</v>
      </c>
      <c r="DH55" s="45">
        <f t="shared" si="119"/>
        <v>-6162.4533419187883</v>
      </c>
      <c r="DI55" s="45">
        <f t="shared" si="119"/>
        <v>-7546.8744332172073</v>
      </c>
      <c r="DJ55" s="45">
        <f t="shared" si="119"/>
        <v>-8840.4001057826736</v>
      </c>
      <c r="DK55" s="45">
        <f t="shared" si="119"/>
        <v>-10085.534351893786</v>
      </c>
      <c r="DL55" s="45">
        <f t="shared" si="119"/>
        <v>-11320.078482698864</v>
      </c>
      <c r="DM55" s="45">
        <f>+DL78*$DQ$60</f>
        <v>-12580.758300388678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  <c r="EP55" s="39"/>
      <c r="EQ55" s="39"/>
      <c r="ER55" s="39"/>
      <c r="ES55" s="39"/>
    </row>
    <row r="56" spans="1:149" ht="13" customHeight="1">
      <c r="A56" s="40"/>
      <c r="B56" s="46" t="s">
        <v>193</v>
      </c>
      <c r="C56" s="43">
        <f t="shared" ref="C56:O56" si="120">SUM(C52:C55)</f>
        <v>3824</v>
      </c>
      <c r="D56" s="43">
        <f t="shared" si="120"/>
        <v>3406</v>
      </c>
      <c r="E56" s="43">
        <f t="shared" si="120"/>
        <v>3588</v>
      </c>
      <c r="F56" s="43">
        <f t="shared" si="120"/>
        <v>3070</v>
      </c>
      <c r="G56" s="43">
        <f t="shared" si="120"/>
        <v>3505</v>
      </c>
      <c r="H56" s="43">
        <f t="shared" si="120"/>
        <v>3884</v>
      </c>
      <c r="I56" s="43">
        <f t="shared" si="120"/>
        <v>3607</v>
      </c>
      <c r="J56" s="43">
        <f t="shared" si="120"/>
        <v>2992</v>
      </c>
      <c r="K56" s="43">
        <f t="shared" si="120"/>
        <v>4317</v>
      </c>
      <c r="L56" s="43">
        <f t="shared" si="120"/>
        <v>4608</v>
      </c>
      <c r="M56" s="43">
        <f t="shared" si="120"/>
        <v>4656</v>
      </c>
      <c r="N56" s="43">
        <f t="shared" si="120"/>
        <v>4907.2000000000007</v>
      </c>
      <c r="O56" s="43">
        <f t="shared" si="120"/>
        <v>5290</v>
      </c>
      <c r="P56" s="43"/>
      <c r="Q56" s="43"/>
      <c r="R56" s="43"/>
      <c r="S56" s="43"/>
      <c r="T56" s="43"/>
      <c r="U56" s="43"/>
      <c r="V56" s="43"/>
      <c r="W56" s="43"/>
      <c r="X56" s="43"/>
      <c r="Y56" s="43"/>
      <c r="Z56" s="43"/>
      <c r="AA56" s="43"/>
      <c r="AB56" s="43">
        <f>+AB54+AB52</f>
        <v>8581</v>
      </c>
      <c r="AC56" s="43"/>
      <c r="AD56" s="43"/>
      <c r="AE56" s="43"/>
      <c r="AF56" s="43"/>
      <c r="AG56" s="43"/>
      <c r="AH56" s="43"/>
      <c r="AI56" s="43"/>
      <c r="AJ56" s="43"/>
      <c r="AK56" s="43"/>
      <c r="AL56" s="43"/>
      <c r="AM56" s="43"/>
      <c r="AN56" s="43"/>
      <c r="AO56" s="43"/>
      <c r="AP56" s="43"/>
      <c r="AQ56" s="43">
        <f>+AQ55+AQ52</f>
        <v>13609</v>
      </c>
      <c r="AR56" s="43">
        <f>+AR55+AR52</f>
        <v>12498</v>
      </c>
      <c r="AS56" s="43">
        <f>+AS55+AS52</f>
        <v>11138</v>
      </c>
      <c r="AT56" s="43">
        <f>+AT55+AT52</f>
        <v>10370</v>
      </c>
      <c r="AU56" s="43">
        <f>+AU52+AU55</f>
        <v>13222</v>
      </c>
      <c r="AV56" s="43">
        <f>+AV52+AV55</f>
        <v>12145</v>
      </c>
      <c r="AW56" s="43">
        <f>+AW52+AW55</f>
        <v>12107</v>
      </c>
      <c r="AX56" s="43">
        <f t="shared" ref="AX56:BB56" si="121">AX52-AX55</f>
        <v>11079</v>
      </c>
      <c r="AY56" s="43">
        <f t="shared" si="121"/>
        <v>15021</v>
      </c>
      <c r="AZ56" s="43">
        <f t="shared" si="121"/>
        <v>13416</v>
      </c>
      <c r="BA56" s="43">
        <f t="shared" si="121"/>
        <v>12691</v>
      </c>
      <c r="BB56" s="43">
        <f t="shared" si="121"/>
        <v>12002</v>
      </c>
      <c r="BC56" s="43">
        <f>BC52-BC55</f>
        <v>15938</v>
      </c>
      <c r="BD56" s="43">
        <f>BD52-BD55</f>
        <v>14917</v>
      </c>
      <c r="BE56" s="43">
        <f t="shared" ref="BE56:BN56" si="122">BE52-BE55</f>
        <v>15112</v>
      </c>
      <c r="BF56" s="43">
        <f t="shared" si="122"/>
        <v>13113</v>
      </c>
      <c r="BG56" s="43">
        <f t="shared" si="122"/>
        <v>17919</v>
      </c>
      <c r="BH56" s="43">
        <f t="shared" si="122"/>
        <v>16795</v>
      </c>
      <c r="BI56" s="43">
        <f t="shared" si="122"/>
        <v>18032</v>
      </c>
      <c r="BJ56" s="43">
        <f t="shared" si="122"/>
        <v>16316</v>
      </c>
      <c r="BK56" s="43">
        <f t="shared" si="122"/>
        <v>24737</v>
      </c>
      <c r="BL56" s="43">
        <f t="shared" si="122"/>
        <v>24254</v>
      </c>
      <c r="BM56" s="43">
        <f t="shared" si="122"/>
        <v>28063</v>
      </c>
      <c r="BN56" s="43">
        <f t="shared" si="122"/>
        <v>27620</v>
      </c>
      <c r="BO56" s="43">
        <f>+BO52+BO55</f>
        <v>31918</v>
      </c>
      <c r="BP56" s="43">
        <f>+BP52+BP55</f>
        <v>25332</v>
      </c>
      <c r="BQ56" s="43">
        <f>+BQ52+BQ55</f>
        <v>34384</v>
      </c>
      <c r="BR56" s="43">
        <f>+BR52+BR55</f>
        <v>35557</v>
      </c>
      <c r="BS56" s="43">
        <f>+BS52+BS55</f>
        <v>37033</v>
      </c>
      <c r="BT56" s="43">
        <f>+BT52+BT55</f>
        <v>33805</v>
      </c>
      <c r="BU56" s="43">
        <f>+BU52+BU55</f>
        <v>25517</v>
      </c>
      <c r="BV56" s="43"/>
      <c r="BW56" s="43"/>
      <c r="BX56" s="43"/>
      <c r="BY56" s="43"/>
      <c r="BZ56" s="43"/>
      <c r="CA56" s="43"/>
      <c r="CB56" s="43">
        <v>-1160</v>
      </c>
      <c r="CC56" s="43">
        <v>-1348</v>
      </c>
      <c r="CD56" s="43">
        <v>-1730</v>
      </c>
      <c r="CE56" s="43">
        <v>-2075</v>
      </c>
      <c r="CF56" s="43">
        <v>-2212</v>
      </c>
      <c r="CG56" s="43"/>
      <c r="CH56" s="43"/>
      <c r="CI56" s="43"/>
      <c r="CJ56" s="43"/>
      <c r="CK56" s="43"/>
      <c r="CL56" s="43"/>
      <c r="CM56" s="43">
        <f t="shared" ref="CM56:CQ56" si="123">CM52+SUM(CM53:CM55)</f>
        <v>14592</v>
      </c>
      <c r="CN56" s="43">
        <f t="shared" si="123"/>
        <v>18286</v>
      </c>
      <c r="CO56" s="43">
        <f t="shared" si="123"/>
        <v>21925</v>
      </c>
      <c r="CP56" s="43">
        <f t="shared" si="123"/>
        <v>27811</v>
      </c>
      <c r="CQ56" s="43">
        <f t="shared" si="123"/>
        <v>0</v>
      </c>
      <c r="CR56" s="43">
        <f>CR52+SUM(CR53:CR55)</f>
        <v>34096</v>
      </c>
      <c r="CS56" s="43">
        <f>CS52+SUM(CS53:CS55)</f>
        <v>43483</v>
      </c>
      <c r="CT56" s="43">
        <f>CT52+SUM(CT53:CT55)</f>
        <v>47798</v>
      </c>
      <c r="CU56" s="45"/>
      <c r="CV56" s="45"/>
      <c r="CW56" s="45">
        <f>+CW52+CW54</f>
        <v>48553</v>
      </c>
      <c r="CX56" s="45">
        <f>+CX52+CX54</f>
        <v>53130</v>
      </c>
      <c r="CY56" s="45">
        <f t="shared" ref="CY56:DA56" si="124">+CY52-CY55</f>
        <v>59080</v>
      </c>
      <c r="CZ56" s="45">
        <f t="shared" si="124"/>
        <v>69062</v>
      </c>
      <c r="DA56" s="45">
        <f t="shared" si="124"/>
        <v>104674</v>
      </c>
      <c r="DB56" s="45">
        <f>+DB52-DB55</f>
        <v>129487</v>
      </c>
      <c r="DC56" s="45">
        <f>+DC52-DC55</f>
        <v>150360.19649999996</v>
      </c>
      <c r="DD56" s="45">
        <f t="shared" ref="DD56:DH56" si="125">+DD52-DD55</f>
        <v>187657.20289700001</v>
      </c>
      <c r="DE56" s="45">
        <f t="shared" si="125"/>
        <v>178979.33755392602</v>
      </c>
      <c r="DF56" s="45">
        <f t="shared" si="125"/>
        <v>170849.26652041989</v>
      </c>
      <c r="DG56" s="45">
        <f t="shared" si="125"/>
        <v>176219.41426850267</v>
      </c>
      <c r="DH56" s="45">
        <f t="shared" si="125"/>
        <v>173052.63641230244</v>
      </c>
      <c r="DI56" s="45">
        <f t="shared" ref="DI56:DM56" si="126">+DI52-DI55</f>
        <v>161690.70907068328</v>
      </c>
      <c r="DJ56" s="45">
        <f t="shared" si="126"/>
        <v>155641.78076388928</v>
      </c>
      <c r="DK56" s="45">
        <f t="shared" si="126"/>
        <v>154318.01635063454</v>
      </c>
      <c r="DL56" s="45">
        <f t="shared" si="126"/>
        <v>157584.97721122668</v>
      </c>
      <c r="DM56" s="45">
        <f t="shared" si="126"/>
        <v>165710.36445460841</v>
      </c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  <c r="EP56" s="39"/>
      <c r="EQ56" s="39"/>
      <c r="ER56" s="39"/>
      <c r="ES56" s="39"/>
    </row>
    <row r="57" spans="1:149" ht="13" customHeight="1">
      <c r="A57" s="40"/>
      <c r="B57" s="46" t="s">
        <v>198</v>
      </c>
      <c r="C57" s="43">
        <f t="shared" ref="C57:J57" si="127">C56-C58</f>
        <v>1644</v>
      </c>
      <c r="D57" s="43">
        <f t="shared" si="127"/>
        <v>935</v>
      </c>
      <c r="E57" s="43">
        <f t="shared" si="127"/>
        <v>924</v>
      </c>
      <c r="F57" s="43">
        <f t="shared" si="127"/>
        <v>740</v>
      </c>
      <c r="G57" s="43">
        <f t="shared" si="127"/>
        <v>806</v>
      </c>
      <c r="H57" s="43">
        <f t="shared" si="127"/>
        <v>893</v>
      </c>
      <c r="I57" s="43">
        <f t="shared" si="127"/>
        <v>852</v>
      </c>
      <c r="J57" s="43">
        <f t="shared" si="127"/>
        <v>669</v>
      </c>
      <c r="K57" s="43">
        <v>993</v>
      </c>
      <c r="L57" s="43">
        <v>1060</v>
      </c>
      <c r="M57" s="43">
        <v>1071</v>
      </c>
      <c r="N57" s="43">
        <f>+N56*0.25</f>
        <v>1226.8000000000002</v>
      </c>
      <c r="O57" s="43">
        <f>O56-O58</f>
        <v>1217</v>
      </c>
      <c r="P57" s="43"/>
      <c r="Q57" s="43"/>
      <c r="R57" s="43"/>
      <c r="S57" s="43"/>
      <c r="T57" s="43"/>
      <c r="U57" s="43"/>
      <c r="V57" s="43"/>
      <c r="W57" s="43"/>
      <c r="X57" s="43"/>
      <c r="Y57" s="43"/>
      <c r="Z57" s="43"/>
      <c r="AA57" s="43"/>
      <c r="AB57" s="43">
        <f>+AB56-6994</f>
        <v>1587</v>
      </c>
      <c r="AC57" s="43"/>
      <c r="AD57" s="43"/>
      <c r="AE57" s="43"/>
      <c r="AF57" s="43"/>
      <c r="AG57" s="43"/>
      <c r="AH57" s="43"/>
      <c r="AI57" s="43"/>
      <c r="AJ57" s="43"/>
      <c r="AK57" s="43"/>
      <c r="AL57" s="43"/>
      <c r="AM57" s="43"/>
      <c r="AN57" s="43"/>
      <c r="AO57" s="43"/>
      <c r="AP57" s="43"/>
      <c r="AQ57" s="43">
        <v>2858</v>
      </c>
      <c r="AR57" s="43">
        <v>2155</v>
      </c>
      <c r="AS57" s="43">
        <v>2101</v>
      </c>
      <c r="AT57" s="43">
        <v>1873</v>
      </c>
      <c r="AU57" s="43">
        <v>2777</v>
      </c>
      <c r="AV57" s="43">
        <v>2550</v>
      </c>
      <c r="AW57" s="43">
        <v>1913</v>
      </c>
      <c r="AX57" s="43">
        <v>2362</v>
      </c>
      <c r="AY57" s="43">
        <v>3124</v>
      </c>
      <c r="AZ57" s="43">
        <v>2791</v>
      </c>
      <c r="BA57" s="43">
        <v>2393</v>
      </c>
      <c r="BB57" s="43">
        <v>2684</v>
      </c>
      <c r="BC57" s="43">
        <v>3315</v>
      </c>
      <c r="BD57" s="43">
        <v>2794</v>
      </c>
      <c r="BE57" s="43">
        <v>2993</v>
      </c>
      <c r="BF57" s="43">
        <v>2221</v>
      </c>
      <c r="BG57" s="43">
        <v>3709</v>
      </c>
      <c r="BH57" s="43">
        <v>3477</v>
      </c>
      <c r="BI57" s="43">
        <v>3627</v>
      </c>
      <c r="BJ57" s="43">
        <v>2724</v>
      </c>
      <c r="BK57" s="43">
        <v>4923</v>
      </c>
      <c r="BL57" s="43">
        <v>4826</v>
      </c>
      <c r="BM57" s="43">
        <v>5585</v>
      </c>
      <c r="BN57" s="43">
        <v>5657</v>
      </c>
      <c r="BO57" s="43">
        <v>6511</v>
      </c>
      <c r="BP57" s="43">
        <v>5282</v>
      </c>
      <c r="BQ57" s="43">
        <v>7083</v>
      </c>
      <c r="BR57" s="43">
        <v>7327</v>
      </c>
      <c r="BS57" s="43">
        <v>7999</v>
      </c>
      <c r="BT57" s="43">
        <v>7302</v>
      </c>
      <c r="BU57" s="43">
        <v>5511</v>
      </c>
      <c r="BV57" s="43"/>
      <c r="BW57" s="43"/>
      <c r="BX57" s="43"/>
      <c r="BY57" s="43"/>
      <c r="BZ57" s="43"/>
      <c r="CA57" s="43"/>
      <c r="CB57" s="43">
        <f t="shared" ref="CB57:CH57" si="128">CB55+CB56</f>
        <v>2016</v>
      </c>
      <c r="CC57" s="43">
        <f t="shared" si="128"/>
        <v>2001</v>
      </c>
      <c r="CD57" s="43">
        <f t="shared" si="128"/>
        <v>3154</v>
      </c>
      <c r="CE57" s="43">
        <f t="shared" si="128"/>
        <v>3620</v>
      </c>
      <c r="CF57" s="43">
        <f t="shared" si="128"/>
        <v>4116</v>
      </c>
      <c r="CG57" s="43">
        <f t="shared" si="128"/>
        <v>954</v>
      </c>
      <c r="CH57" s="43">
        <f t="shared" si="128"/>
        <v>477</v>
      </c>
      <c r="CI57" s="37"/>
      <c r="CJ57" s="37"/>
      <c r="CK57" s="37"/>
      <c r="CL57" s="37"/>
      <c r="CM57" s="43">
        <f>+CM56*0.35</f>
        <v>5107.2</v>
      </c>
      <c r="CN57" s="43">
        <v>3883</v>
      </c>
      <c r="CO57" s="43">
        <v>4828</v>
      </c>
      <c r="CP57" s="43">
        <v>6379</v>
      </c>
      <c r="CQ57" s="43"/>
      <c r="CR57" s="43">
        <v>7615</v>
      </c>
      <c r="CS57" s="43">
        <v>8623</v>
      </c>
      <c r="CT57" s="45">
        <v>9873</v>
      </c>
      <c r="CU57" s="45"/>
      <c r="CV57" s="45"/>
      <c r="CW57" s="45">
        <v>9602</v>
      </c>
      <c r="CX57" s="45">
        <v>10992</v>
      </c>
      <c r="CY57" s="45">
        <f t="shared" ref="CY57" si="129">SUM(BC57:BF57)</f>
        <v>11323</v>
      </c>
      <c r="CZ57" s="45">
        <f t="shared" si="116"/>
        <v>13537</v>
      </c>
      <c r="DA57" s="45">
        <f>SUM(BK57:BN57)</f>
        <v>20991</v>
      </c>
      <c r="DB57" s="45">
        <f>SUM(BO57:BR57)</f>
        <v>26203</v>
      </c>
      <c r="DC57" s="45">
        <f>+DC56*0.2</f>
        <v>30072.039299999993</v>
      </c>
      <c r="DD57" s="45">
        <f t="shared" ref="DD57:DH57" si="130">+DD56*0.2</f>
        <v>37531.440579400005</v>
      </c>
      <c r="DE57" s="45">
        <f t="shared" si="130"/>
        <v>35795.867510785203</v>
      </c>
      <c r="DF57" s="45">
        <f t="shared" si="130"/>
        <v>34169.853304083976</v>
      </c>
      <c r="DG57" s="45">
        <f t="shared" si="130"/>
        <v>35243.882853700539</v>
      </c>
      <c r="DH57" s="45">
        <f t="shared" si="130"/>
        <v>34610.527282460491</v>
      </c>
      <c r="DI57" s="45">
        <f t="shared" ref="DI57:DM57" si="131">+DI56*0.2</f>
        <v>32338.141814136659</v>
      </c>
      <c r="DJ57" s="45">
        <f t="shared" si="131"/>
        <v>31128.356152777858</v>
      </c>
      <c r="DK57" s="45">
        <f t="shared" si="131"/>
        <v>30863.603270126911</v>
      </c>
      <c r="DL57" s="45">
        <f t="shared" si="131"/>
        <v>31516.995442245337</v>
      </c>
      <c r="DM57" s="45">
        <f t="shared" si="131"/>
        <v>33142.072890921685</v>
      </c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  <c r="EP57" s="39"/>
      <c r="EQ57" s="39"/>
      <c r="ER57" s="39"/>
      <c r="ES57" s="39"/>
    </row>
    <row r="58" spans="1:149" ht="13" customHeight="1">
      <c r="A58" s="40"/>
      <c r="B58" s="46" t="s">
        <v>194</v>
      </c>
      <c r="C58" s="43">
        <v>2180</v>
      </c>
      <c r="D58" s="43">
        <v>2471</v>
      </c>
      <c r="E58" s="43">
        <v>2664</v>
      </c>
      <c r="F58" s="43">
        <v>2330</v>
      </c>
      <c r="G58" s="43">
        <v>2699</v>
      </c>
      <c r="H58" s="43">
        <v>2991</v>
      </c>
      <c r="I58" s="43">
        <v>2755</v>
      </c>
      <c r="J58" s="43">
        <v>2323</v>
      </c>
      <c r="K58" s="43">
        <f>+K56-K57</f>
        <v>3324</v>
      </c>
      <c r="L58" s="43">
        <f>+L56-L57</f>
        <v>3548</v>
      </c>
      <c r="M58" s="43">
        <f>+M56-M57</f>
        <v>3585</v>
      </c>
      <c r="N58" s="43">
        <f>+N56-N57</f>
        <v>3680.4000000000005</v>
      </c>
      <c r="O58" s="43">
        <f>4073</f>
        <v>4073</v>
      </c>
      <c r="P58" s="43"/>
      <c r="Q58" s="43"/>
      <c r="R58" s="43"/>
      <c r="S58" s="43"/>
      <c r="T58" s="43"/>
      <c r="U58" s="43"/>
      <c r="V58" s="43"/>
      <c r="W58" s="43"/>
      <c r="X58" s="43"/>
      <c r="Y58" s="43"/>
      <c r="Z58" s="43"/>
      <c r="AA58" s="43"/>
      <c r="AB58" s="43">
        <f>+AB56-AB57</f>
        <v>6994</v>
      </c>
      <c r="AC58" s="43"/>
      <c r="AD58" s="43"/>
      <c r="AE58" s="43"/>
      <c r="AF58" s="43"/>
      <c r="AG58" s="43"/>
      <c r="AH58" s="43"/>
      <c r="AI58" s="43"/>
      <c r="AJ58" s="43"/>
      <c r="AK58" s="43"/>
      <c r="AL58" s="43"/>
      <c r="AM58" s="43"/>
      <c r="AN58" s="43"/>
      <c r="AO58" s="43"/>
      <c r="AP58" s="43"/>
      <c r="AQ58" s="43">
        <f>+AQ56-AQ57</f>
        <v>10751</v>
      </c>
      <c r="AR58" s="43">
        <f>+AR56-AR57</f>
        <v>10343</v>
      </c>
      <c r="AS58" s="43">
        <f>+AS56-AS57</f>
        <v>9037</v>
      </c>
      <c r="AT58" s="43">
        <f>+AT56-AT57</f>
        <v>8497</v>
      </c>
      <c r="AU58" s="43">
        <f t="shared" ref="AU58:AW58" si="132">AU56-AU57</f>
        <v>10445</v>
      </c>
      <c r="AV58" s="43">
        <f t="shared" si="132"/>
        <v>9595</v>
      </c>
      <c r="AW58" s="43">
        <f t="shared" si="132"/>
        <v>10194</v>
      </c>
      <c r="AX58" s="43">
        <f t="shared" ref="AX58:BB58" si="133">AX56-AX57</f>
        <v>8717</v>
      </c>
      <c r="AY58" s="43">
        <f t="shared" si="133"/>
        <v>11897</v>
      </c>
      <c r="AZ58" s="43">
        <f t="shared" si="133"/>
        <v>10625</v>
      </c>
      <c r="BA58" s="43">
        <f t="shared" si="133"/>
        <v>10298</v>
      </c>
      <c r="BB58" s="43">
        <f t="shared" si="133"/>
        <v>9318</v>
      </c>
      <c r="BC58" s="43">
        <f>BC56-BC57</f>
        <v>12623</v>
      </c>
      <c r="BD58" s="43">
        <f>BD56-BD57</f>
        <v>12123</v>
      </c>
      <c r="BE58" s="43">
        <f t="shared" ref="BE58:BG58" si="134">BE56-BE57</f>
        <v>12119</v>
      </c>
      <c r="BF58" s="43">
        <f t="shared" si="134"/>
        <v>10892</v>
      </c>
      <c r="BG58" s="43">
        <f t="shared" si="134"/>
        <v>14210</v>
      </c>
      <c r="BH58" s="43">
        <f>BH56-BH57</f>
        <v>13318</v>
      </c>
      <c r="BI58" s="43">
        <f t="shared" ref="BI58:BU58" si="135">BI56-BI57</f>
        <v>14405</v>
      </c>
      <c r="BJ58" s="43">
        <f t="shared" si="135"/>
        <v>13592</v>
      </c>
      <c r="BK58" s="43">
        <f t="shared" si="135"/>
        <v>19814</v>
      </c>
      <c r="BL58" s="43">
        <f t="shared" si="135"/>
        <v>19428</v>
      </c>
      <c r="BM58" s="43">
        <f t="shared" si="135"/>
        <v>22478</v>
      </c>
      <c r="BN58" s="43">
        <f t="shared" si="135"/>
        <v>21963</v>
      </c>
      <c r="BO58" s="43">
        <f t="shared" si="135"/>
        <v>25407</v>
      </c>
      <c r="BP58" s="43">
        <f t="shared" si="135"/>
        <v>20050</v>
      </c>
      <c r="BQ58" s="43">
        <f t="shared" si="135"/>
        <v>27301</v>
      </c>
      <c r="BR58" s="43">
        <f t="shared" si="135"/>
        <v>28230</v>
      </c>
      <c r="BS58" s="43">
        <f t="shared" si="135"/>
        <v>29034</v>
      </c>
      <c r="BT58" s="43">
        <f t="shared" si="135"/>
        <v>26503</v>
      </c>
      <c r="BU58" s="43">
        <f t="shared" si="135"/>
        <v>20006</v>
      </c>
      <c r="BV58" s="43"/>
      <c r="BW58" s="43"/>
      <c r="BX58" s="43"/>
      <c r="BY58" s="43"/>
      <c r="BZ58" s="43"/>
      <c r="CA58" s="43"/>
      <c r="CB58" s="11">
        <f t="shared" ref="CB58:CF58" si="136">CB57/CB59</f>
        <v>5.4339622641509431</v>
      </c>
      <c r="CC58" s="11">
        <f t="shared" si="136"/>
        <v>5.5909784351966199</v>
      </c>
      <c r="CD58" s="11">
        <f t="shared" si="136"/>
        <v>9.0298275927642493</v>
      </c>
      <c r="CE58" s="11">
        <f t="shared" si="136"/>
        <v>10.449736117774917</v>
      </c>
      <c r="CF58" s="11">
        <f t="shared" si="136"/>
        <v>11.849703476124272</v>
      </c>
      <c r="CG58" s="11"/>
      <c r="CH58" s="11"/>
      <c r="CI58" s="43"/>
      <c r="CJ58" s="43"/>
      <c r="CK58" s="43"/>
      <c r="CL58" s="43"/>
      <c r="CM58" s="43">
        <f t="shared" ref="CM58:CT58" si="137">CM56-CM57</f>
        <v>9484.7999999999993</v>
      </c>
      <c r="CN58" s="43">
        <f>CN56-CN57</f>
        <v>14403</v>
      </c>
      <c r="CO58" s="43">
        <f t="shared" si="137"/>
        <v>17097</v>
      </c>
      <c r="CP58" s="43">
        <f t="shared" si="137"/>
        <v>21432</v>
      </c>
      <c r="CQ58" s="43">
        <f t="shared" si="137"/>
        <v>0</v>
      </c>
      <c r="CR58" s="43">
        <f t="shared" si="137"/>
        <v>26481</v>
      </c>
      <c r="CS58" s="43">
        <f t="shared" si="137"/>
        <v>34860</v>
      </c>
      <c r="CT58" s="43">
        <f t="shared" si="137"/>
        <v>37925</v>
      </c>
      <c r="CU58" s="45"/>
      <c r="CV58" s="45"/>
      <c r="CW58" s="45">
        <f t="shared" ref="CW58:DM58" si="138">+CW56-CW57</f>
        <v>38951</v>
      </c>
      <c r="CX58" s="45">
        <f t="shared" si="138"/>
        <v>42138</v>
      </c>
      <c r="CY58" s="45">
        <f t="shared" si="138"/>
        <v>47757</v>
      </c>
      <c r="CZ58" s="45">
        <f t="shared" si="138"/>
        <v>55525</v>
      </c>
      <c r="DA58" s="45">
        <f t="shared" si="138"/>
        <v>83683</v>
      </c>
      <c r="DB58" s="45">
        <f t="shared" si="138"/>
        <v>103284</v>
      </c>
      <c r="DC58" s="45">
        <f t="shared" si="138"/>
        <v>120288.15719999997</v>
      </c>
      <c r="DD58" s="45">
        <f t="shared" si="138"/>
        <v>150125.76231760002</v>
      </c>
      <c r="DE58" s="45">
        <f t="shared" si="138"/>
        <v>143183.47004314081</v>
      </c>
      <c r="DF58" s="45">
        <f t="shared" si="138"/>
        <v>136679.4132163359</v>
      </c>
      <c r="DG58" s="45">
        <f t="shared" si="138"/>
        <v>140975.53141480213</v>
      </c>
      <c r="DH58" s="45">
        <f t="shared" si="138"/>
        <v>138442.10912984196</v>
      </c>
      <c r="DI58" s="45">
        <f t="shared" si="138"/>
        <v>129352.56725654662</v>
      </c>
      <c r="DJ58" s="45">
        <f t="shared" si="138"/>
        <v>124513.42461111143</v>
      </c>
      <c r="DK58" s="45">
        <f t="shared" si="138"/>
        <v>123454.41308050763</v>
      </c>
      <c r="DL58" s="45">
        <f t="shared" si="138"/>
        <v>126067.98176898135</v>
      </c>
      <c r="DM58" s="45">
        <f t="shared" si="138"/>
        <v>132568.29156368674</v>
      </c>
      <c r="DN58" s="45">
        <f>DM58*(1+$DQ$61)</f>
        <v>131242.60864804988</v>
      </c>
      <c r="DO58" s="45">
        <f t="shared" ref="DN58:ES58" si="139">DN58*(1+$DQ$61)</f>
        <v>129930.18256156938</v>
      </c>
      <c r="DP58" s="45">
        <f t="shared" si="139"/>
        <v>128630.88073595369</v>
      </c>
      <c r="DQ58" s="45">
        <f t="shared" si="139"/>
        <v>127344.57192859414</v>
      </c>
      <c r="DR58" s="45">
        <f t="shared" si="139"/>
        <v>126071.1262093082</v>
      </c>
      <c r="DS58" s="45">
        <f t="shared" si="139"/>
        <v>124810.41494721512</v>
      </c>
      <c r="DT58" s="45">
        <f t="shared" si="139"/>
        <v>123562.31079774296</v>
      </c>
      <c r="DU58" s="45">
        <f t="shared" si="139"/>
        <v>122326.68768976553</v>
      </c>
      <c r="DV58" s="45">
        <f t="shared" si="139"/>
        <v>121103.42081286787</v>
      </c>
      <c r="DW58" s="45">
        <f t="shared" si="139"/>
        <v>119892.38660473919</v>
      </c>
      <c r="DX58" s="45">
        <f t="shared" si="139"/>
        <v>118693.4627386918</v>
      </c>
      <c r="DY58" s="45">
        <f t="shared" si="139"/>
        <v>117506.52811130488</v>
      </c>
      <c r="DZ58" s="45">
        <f t="shared" si="139"/>
        <v>116331.46283019183</v>
      </c>
      <c r="EA58" s="45">
        <f t="shared" si="139"/>
        <v>115168.14820188991</v>
      </c>
      <c r="EB58" s="45">
        <f t="shared" si="139"/>
        <v>114016.46671987101</v>
      </c>
      <c r="EC58" s="45">
        <f t="shared" si="139"/>
        <v>112876.3020526723</v>
      </c>
      <c r="ED58" s="45">
        <f t="shared" si="139"/>
        <v>111747.53903214558</v>
      </c>
      <c r="EE58" s="45">
        <f t="shared" si="139"/>
        <v>110630.06364182412</v>
      </c>
      <c r="EF58" s="45">
        <f t="shared" si="139"/>
        <v>109523.76300540588</v>
      </c>
      <c r="EG58" s="45">
        <f t="shared" si="139"/>
        <v>108428.52537535182</v>
      </c>
      <c r="EH58" s="45">
        <f t="shared" si="139"/>
        <v>107344.2401215983</v>
      </c>
      <c r="EI58" s="45">
        <f t="shared" si="139"/>
        <v>106270.79772038231</v>
      </c>
      <c r="EJ58" s="45">
        <f t="shared" si="139"/>
        <v>105208.08974317848</v>
      </c>
      <c r="EK58" s="45">
        <f t="shared" si="139"/>
        <v>104156.00884574669</v>
      </c>
      <c r="EL58" s="45">
        <f t="shared" si="139"/>
        <v>103114.44875728922</v>
      </c>
      <c r="EM58" s="45">
        <f t="shared" si="139"/>
        <v>102083.30426971633</v>
      </c>
      <c r="EN58" s="45">
        <f t="shared" si="139"/>
        <v>101062.47122701917</v>
      </c>
      <c r="EO58" s="45">
        <f t="shared" si="139"/>
        <v>100051.84651474898</v>
      </c>
      <c r="EP58" s="45">
        <f t="shared" si="139"/>
        <v>99051.328049601492</v>
      </c>
      <c r="EQ58" s="45">
        <f t="shared" si="139"/>
        <v>98060.814769105476</v>
      </c>
      <c r="ER58" s="45">
        <f t="shared" si="139"/>
        <v>97080.206621414414</v>
      </c>
      <c r="ES58" s="45">
        <f t="shared" si="139"/>
        <v>96109.404555200264</v>
      </c>
    </row>
    <row r="59" spans="1:149" s="12" customFormat="1" ht="13" customHeight="1">
      <c r="A59" s="8"/>
      <c r="B59" s="9" t="s">
        <v>140</v>
      </c>
      <c r="C59" s="11">
        <f t="shared" ref="C59:J59" si="140">C58/C60</f>
        <v>3.4807600191601473</v>
      </c>
      <c r="D59" s="11">
        <f t="shared" si="140"/>
        <v>3.994503718073068</v>
      </c>
      <c r="E59" s="11">
        <f t="shared" si="140"/>
        <v>4.3359375</v>
      </c>
      <c r="F59" s="11">
        <f t="shared" si="140"/>
        <v>3.7923177083333335</v>
      </c>
      <c r="G59" s="11">
        <f t="shared" si="140"/>
        <v>4.4050922147870084</v>
      </c>
      <c r="H59" s="11">
        <f t="shared" si="140"/>
        <v>4.9202171409771349</v>
      </c>
      <c r="I59" s="11">
        <f t="shared" si="140"/>
        <v>4.5809777186564684</v>
      </c>
      <c r="J59" s="11">
        <f t="shared" si="140"/>
        <v>3.9028897849462361</v>
      </c>
      <c r="K59" s="11">
        <f>K58/K60</f>
        <v>5.6053962900505905</v>
      </c>
      <c r="L59" s="11">
        <f>L58/L60</f>
        <v>6.0247919850568863</v>
      </c>
      <c r="M59" s="11">
        <f>M58/M60</f>
        <v>6.156620298815044</v>
      </c>
      <c r="N59" s="11">
        <f>N58/N60</f>
        <v>6.2064080944350772</v>
      </c>
      <c r="O59" s="11">
        <f>O58/O60</f>
        <v>7.1256123163051086</v>
      </c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>
        <f>AB58/AB60</f>
        <v>2.6522563519150548</v>
      </c>
      <c r="AC59" s="11"/>
      <c r="AD59" s="11"/>
      <c r="AE59" s="11"/>
      <c r="AF59" s="11"/>
      <c r="AG59" s="11"/>
      <c r="AH59" s="11"/>
      <c r="AI59" s="11"/>
      <c r="AJ59" s="11"/>
      <c r="AK59" s="11"/>
      <c r="AL59" s="11"/>
      <c r="AM59" s="11"/>
      <c r="AN59" s="11"/>
      <c r="AO59" s="11"/>
      <c r="AP59" s="11"/>
      <c r="AQ59" s="11">
        <f t="shared" ref="AQ59:AT59" si="141">AQ58/AQ60</f>
        <v>4.4019981165295006</v>
      </c>
      <c r="AR59" s="11">
        <f t="shared" si="141"/>
        <v>4.2548027479534332</v>
      </c>
      <c r="AS59" s="11">
        <f t="shared" si="141"/>
        <v>3.7355324074074079</v>
      </c>
      <c r="AT59" s="11">
        <f t="shared" si="141"/>
        <v>3.5314409209924777</v>
      </c>
      <c r="AU59" s="11">
        <f t="shared" ref="AU59:AW59" si="142">AU58/AU60</f>
        <v>4.3618976029399485</v>
      </c>
      <c r="AV59" s="11">
        <f t="shared" si="142"/>
        <v>4.0255926159009858</v>
      </c>
      <c r="AW59" s="11">
        <f t="shared" si="142"/>
        <v>4.2954660374178326</v>
      </c>
      <c r="AX59" s="11">
        <f t="shared" ref="AX59:BB59" si="143">AX58/AX60</f>
        <v>3.6884864384547029</v>
      </c>
      <c r="AY59" s="11">
        <f t="shared" si="143"/>
        <v>5.0522337353490743</v>
      </c>
      <c r="AZ59" s="11">
        <f t="shared" si="143"/>
        <v>4.5311100686596442</v>
      </c>
      <c r="BA59" s="11">
        <f t="shared" si="143"/>
        <v>4.4100895036615135</v>
      </c>
      <c r="BB59" s="11">
        <f t="shared" si="143"/>
        <v>4.0075695669003482</v>
      </c>
      <c r="BC59" s="11">
        <f>BC58/BC60</f>
        <v>5.451286923475557</v>
      </c>
      <c r="BD59" s="11">
        <f>BD58/BD60</f>
        <v>5.256471404413996</v>
      </c>
      <c r="BE59" s="11">
        <f t="shared" ref="BE59:BG59" si="144">BE58/BE60</f>
        <v>5.2753232055021106</v>
      </c>
      <c r="BF59" s="11">
        <f t="shared" si="144"/>
        <v>4.7550860036671621</v>
      </c>
      <c r="BG59" s="11">
        <f t="shared" si="144"/>
        <v>3.1117242587483025</v>
      </c>
      <c r="BH59" s="11">
        <f>BH58/BH60</f>
        <v>2.9256183823206361</v>
      </c>
      <c r="BI59" s="11">
        <f t="shared" ref="BI59:BU59" si="145">BI58/BI60</f>
        <v>3.1750055102490631</v>
      </c>
      <c r="BJ59" s="11">
        <f t="shared" si="145"/>
        <v>3.0052180065446183</v>
      </c>
      <c r="BK59" s="11">
        <f t="shared" si="145"/>
        <v>4.3902330940352741</v>
      </c>
      <c r="BL59" s="11">
        <f t="shared" si="145"/>
        <v>4.3148403144849636</v>
      </c>
      <c r="BM59" s="11">
        <f t="shared" si="145"/>
        <v>5.0073513031855645</v>
      </c>
      <c r="BN59" s="11">
        <f t="shared" si="145"/>
        <v>4.905302184303391</v>
      </c>
      <c r="BO59" s="11">
        <f t="shared" si="145"/>
        <v>5.6832569063863101</v>
      </c>
      <c r="BP59" s="11">
        <f t="shared" si="145"/>
        <v>4.4900792762126578</v>
      </c>
      <c r="BQ59" s="11">
        <f t="shared" si="145"/>
        <v>6.1206142809102122</v>
      </c>
      <c r="BR59" s="11">
        <f t="shared" si="145"/>
        <v>6.3359892267983389</v>
      </c>
      <c r="BS59" s="11">
        <f t="shared" si="145"/>
        <v>6.5297768981648083</v>
      </c>
      <c r="BT59" s="11">
        <f t="shared" si="145"/>
        <v>5.960150223761441</v>
      </c>
      <c r="BU59" s="11">
        <f t="shared" si="145"/>
        <v>4.498965548259422</v>
      </c>
      <c r="BV59" s="11"/>
      <c r="BW59" s="11"/>
      <c r="BX59" s="11"/>
      <c r="BY59" s="11"/>
      <c r="BZ59" s="11"/>
      <c r="CA59" s="10"/>
      <c r="CB59" s="43">
        <v>371</v>
      </c>
      <c r="CC59" s="43">
        <v>357.89800000000002</v>
      </c>
      <c r="CD59" s="43">
        <v>349.28684602210484</v>
      </c>
      <c r="CE59" s="43">
        <v>346.42023101831342</v>
      </c>
      <c r="CF59" s="43">
        <v>347.35046394141801</v>
      </c>
      <c r="CG59" s="43"/>
      <c r="CH59" s="43"/>
      <c r="CI59" s="10"/>
      <c r="CJ59" s="10"/>
      <c r="CK59" s="10"/>
      <c r="CL59" s="10"/>
      <c r="CM59" s="10"/>
      <c r="CN59" s="11">
        <f t="shared" ref="CN59:CP59" si="146">CN58/CN60</f>
        <v>24.600453988798879</v>
      </c>
      <c r="CO59" s="11">
        <f t="shared" si="146"/>
        <v>29.987792300730359</v>
      </c>
      <c r="CP59" s="11">
        <f t="shared" si="146"/>
        <v>38.849452931835813</v>
      </c>
      <c r="CQ59" s="11"/>
      <c r="CR59" s="11"/>
      <c r="CS59" s="11"/>
      <c r="CY59" s="65">
        <f>+CY58/CY60</f>
        <v>20.741818497687248</v>
      </c>
      <c r="CZ59" s="65">
        <f>+CZ58/CZ60</f>
        <v>12.21766252626715</v>
      </c>
      <c r="DA59" s="65">
        <f>+DA58/DA60</f>
        <v>18.614630023022769</v>
      </c>
      <c r="DB59" s="65">
        <f>+DB58/DB60</f>
        <v>23.142410611755608</v>
      </c>
      <c r="DC59" s="65">
        <f>+DC58/DC60</f>
        <v>26.952460455189634</v>
      </c>
      <c r="DD59" s="65">
        <f t="shared" ref="DD59:DM59" si="147">+DD58/DD60</f>
        <v>33.638046889709223</v>
      </c>
      <c r="DE59" s="65">
        <f t="shared" si="147"/>
        <v>32.082516716571526</v>
      </c>
      <c r="DF59" s="65">
        <f t="shared" si="147"/>
        <v>30.625180113340516</v>
      </c>
      <c r="DG59" s="65">
        <f t="shared" si="147"/>
        <v>31.58779321300301</v>
      </c>
      <c r="DH59" s="65">
        <f t="shared" si="147"/>
        <v>31.020139958176319</v>
      </c>
      <c r="DI59" s="65">
        <f t="shared" si="147"/>
        <v>28.983484616549859</v>
      </c>
      <c r="DJ59" s="65">
        <f t="shared" si="147"/>
        <v>27.89919831751498</v>
      </c>
      <c r="DK59" s="65">
        <f t="shared" si="147"/>
        <v>27.661910066829329</v>
      </c>
      <c r="DL59" s="65">
        <f t="shared" si="147"/>
        <v>28.247521388531492</v>
      </c>
      <c r="DM59" s="65">
        <f t="shared" si="147"/>
        <v>29.704018410071026</v>
      </c>
    </row>
    <row r="60" spans="1:149" ht="13" customHeight="1">
      <c r="B60" s="46" t="s">
        <v>11</v>
      </c>
      <c r="C60" s="43">
        <v>626.29999999999995</v>
      </c>
      <c r="D60" s="43">
        <v>618.6</v>
      </c>
      <c r="E60" s="43">
        <v>614.4</v>
      </c>
      <c r="F60" s="43">
        <v>614.4</v>
      </c>
      <c r="G60" s="43">
        <v>612.70000000000005</v>
      </c>
      <c r="H60" s="43">
        <v>607.9</v>
      </c>
      <c r="I60" s="43">
        <v>601.4</v>
      </c>
      <c r="J60" s="43">
        <v>595.20000000000005</v>
      </c>
      <c r="K60" s="43">
        <v>593</v>
      </c>
      <c r="L60" s="43">
        <v>588.9</v>
      </c>
      <c r="M60" s="43">
        <v>582.29999999999995</v>
      </c>
      <c r="N60" s="43">
        <v>593</v>
      </c>
      <c r="O60" s="43">
        <v>571.6</v>
      </c>
      <c r="P60" s="43"/>
      <c r="Q60" s="43"/>
      <c r="R60" s="43"/>
      <c r="S60" s="43"/>
      <c r="T60" s="43"/>
      <c r="U60" s="43"/>
      <c r="V60" s="43"/>
      <c r="W60" s="43"/>
      <c r="X60" s="43"/>
      <c r="Y60" s="43"/>
      <c r="Z60" s="43"/>
      <c r="AA60" s="43"/>
      <c r="AB60" s="43">
        <v>2637</v>
      </c>
      <c r="AC60" s="43"/>
      <c r="AD60" s="43"/>
      <c r="AE60" s="43"/>
      <c r="AF60" s="43"/>
      <c r="AG60" s="43"/>
      <c r="AH60" s="43"/>
      <c r="AI60" s="43"/>
      <c r="AJ60" s="43"/>
      <c r="AK60" s="43"/>
      <c r="AL60" s="43"/>
      <c r="AM60" s="43"/>
      <c r="AN60" s="43"/>
      <c r="AO60" s="43"/>
      <c r="AP60" s="43"/>
      <c r="AQ60" s="43">
        <v>2442.3000000000002</v>
      </c>
      <c r="AR60" s="43">
        <v>2430.9</v>
      </c>
      <c r="AS60" s="43">
        <v>2419.1999999999998</v>
      </c>
      <c r="AT60" s="43">
        <v>2406.1</v>
      </c>
      <c r="AU60" s="43">
        <v>2394.6</v>
      </c>
      <c r="AV60" s="43">
        <v>2383.5</v>
      </c>
      <c r="AW60" s="43">
        <v>2373.1999999999998</v>
      </c>
      <c r="AX60" s="43">
        <v>2363.3000000000002</v>
      </c>
      <c r="AY60" s="43">
        <v>2354.8000000000002</v>
      </c>
      <c r="AZ60" s="43">
        <v>2344.9</v>
      </c>
      <c r="BA60" s="43">
        <v>2335.1</v>
      </c>
      <c r="BB60" s="43">
        <v>2325.1</v>
      </c>
      <c r="BC60" s="43">
        <v>2315.6</v>
      </c>
      <c r="BD60" s="43">
        <v>2306.3000000000002</v>
      </c>
      <c r="BE60" s="43">
        <v>2297.3000000000002</v>
      </c>
      <c r="BF60" s="43">
        <v>2290.6</v>
      </c>
      <c r="BG60" s="43">
        <v>4566.6000000000004</v>
      </c>
      <c r="BH60" s="43">
        <v>4552.2</v>
      </c>
      <c r="BI60" s="43">
        <v>4537</v>
      </c>
      <c r="BJ60" s="43">
        <v>4522.8</v>
      </c>
      <c r="BK60" s="43">
        <v>4513.2</v>
      </c>
      <c r="BL60" s="43">
        <v>4502.6000000000004</v>
      </c>
      <c r="BM60" s="43">
        <v>4489</v>
      </c>
      <c r="BN60" s="43">
        <v>4477.3999999999996</v>
      </c>
      <c r="BO60" s="43">
        <v>4470.5</v>
      </c>
      <c r="BP60" s="43">
        <v>4465.3999999999996</v>
      </c>
      <c r="BQ60" s="43">
        <v>4460.5</v>
      </c>
      <c r="BR60" s="43">
        <v>4455.5</v>
      </c>
      <c r="BS60" s="43">
        <v>4446.3999999999996</v>
      </c>
      <c r="BT60" s="43">
        <v>4446.7</v>
      </c>
      <c r="BU60" s="43">
        <v>4446.8</v>
      </c>
      <c r="BV60" s="43"/>
      <c r="BW60" s="43"/>
      <c r="BX60" s="43"/>
      <c r="BY60" s="43"/>
      <c r="BZ60" s="43"/>
      <c r="CA60" s="47"/>
      <c r="CB60" s="43">
        <f>CB57</f>
        <v>2016</v>
      </c>
      <c r="CC60" s="43">
        <f t="shared" ref="CC60:CH60" si="148">CC57</f>
        <v>2001</v>
      </c>
      <c r="CD60" s="43">
        <f t="shared" si="148"/>
        <v>3154</v>
      </c>
      <c r="CE60" s="43">
        <f t="shared" si="148"/>
        <v>3620</v>
      </c>
      <c r="CF60" s="43">
        <f t="shared" si="148"/>
        <v>4116</v>
      </c>
      <c r="CG60" s="43">
        <f t="shared" si="148"/>
        <v>954</v>
      </c>
      <c r="CH60" s="43">
        <f t="shared" si="148"/>
        <v>477</v>
      </c>
      <c r="CI60" s="43"/>
      <c r="CJ60" s="43"/>
      <c r="CK60" s="43"/>
      <c r="CL60" s="43"/>
      <c r="CM60" s="43"/>
      <c r="CN60" s="43">
        <v>585.47699999999998</v>
      </c>
      <c r="CO60" s="43">
        <v>570.13199999999995</v>
      </c>
      <c r="CP60" s="43">
        <v>551.66800000000001</v>
      </c>
      <c r="CQ60" s="43"/>
      <c r="CR60" s="43">
        <v>2630.2179999999998</v>
      </c>
      <c r="CS60" s="43">
        <v>2577.6979999999999</v>
      </c>
      <c r="CT60" s="45">
        <v>2534.7289999999998</v>
      </c>
      <c r="CW60" s="39"/>
      <c r="CX60" s="39"/>
      <c r="CY60" s="45">
        <f>AVERAGE(BC60:BF60)</f>
        <v>2302.4499999999998</v>
      </c>
      <c r="CZ60" s="45">
        <f>AVERAGE(BG60:BJ60)</f>
        <v>4544.6499999999996</v>
      </c>
      <c r="DA60" s="45">
        <f>AVERAGE(BK60:BN60)</f>
        <v>4495.5499999999993</v>
      </c>
      <c r="DB60" s="45">
        <f>AVERAGE(BO60:BR60)</f>
        <v>4462.9750000000004</v>
      </c>
      <c r="DC60" s="45">
        <f>+DB60</f>
        <v>4462.9750000000004</v>
      </c>
      <c r="DD60" s="45">
        <f t="shared" ref="DD60:DM60" si="149">+DC60</f>
        <v>4462.9750000000004</v>
      </c>
      <c r="DE60" s="45">
        <f t="shared" si="149"/>
        <v>4462.9750000000004</v>
      </c>
      <c r="DF60" s="45">
        <f t="shared" si="149"/>
        <v>4462.9750000000004</v>
      </c>
      <c r="DG60" s="45">
        <f t="shared" si="149"/>
        <v>4462.9750000000004</v>
      </c>
      <c r="DH60" s="45">
        <f t="shared" si="149"/>
        <v>4462.9750000000004</v>
      </c>
      <c r="DI60" s="45">
        <f t="shared" si="149"/>
        <v>4462.9750000000004</v>
      </c>
      <c r="DJ60" s="45">
        <f t="shared" si="149"/>
        <v>4462.9750000000004</v>
      </c>
      <c r="DK60" s="45">
        <f t="shared" si="149"/>
        <v>4462.9750000000004</v>
      </c>
      <c r="DL60" s="45">
        <f t="shared" si="149"/>
        <v>4462.9750000000004</v>
      </c>
      <c r="DM60" s="45">
        <f t="shared" si="149"/>
        <v>4462.9750000000004</v>
      </c>
      <c r="DN60" s="39"/>
      <c r="DO60" s="39"/>
      <c r="DP60" s="36" t="s">
        <v>569</v>
      </c>
      <c r="DQ60" s="49">
        <v>-0.01</v>
      </c>
      <c r="DR60" s="39"/>
      <c r="DS60" s="39"/>
      <c r="DT60" s="39"/>
      <c r="DU60" s="39"/>
      <c r="DV60" s="39"/>
      <c r="DW60" s="39"/>
      <c r="DX60" s="39"/>
      <c r="DY60" s="39"/>
      <c r="DZ60" s="39"/>
      <c r="EA60" s="39"/>
      <c r="EB60" s="39"/>
      <c r="EC60" s="39"/>
      <c r="ED60" s="39"/>
      <c r="EE60" s="39"/>
      <c r="EF60" s="39"/>
      <c r="EG60" s="39"/>
      <c r="EH60" s="39"/>
      <c r="EI60" s="39"/>
      <c r="EJ60" s="39"/>
      <c r="EK60" s="39"/>
      <c r="EL60" s="39"/>
      <c r="EM60" s="39"/>
      <c r="EN60" s="39"/>
      <c r="EO60" s="39"/>
      <c r="EP60" s="39"/>
      <c r="EQ60" s="39"/>
      <c r="ER60" s="39"/>
      <c r="ES60" s="39"/>
    </row>
    <row r="61" spans="1:149" s="5" customFormat="1" ht="13" customHeight="1">
      <c r="B61" s="46"/>
      <c r="C61" s="50"/>
      <c r="D61" s="50"/>
      <c r="E61" s="50"/>
      <c r="F61" s="50"/>
      <c r="G61" s="50"/>
      <c r="H61" s="50"/>
      <c r="I61" s="50"/>
      <c r="J61" s="50"/>
      <c r="K61" s="50"/>
      <c r="L61" s="50"/>
      <c r="M61" s="50"/>
      <c r="N61" s="50"/>
      <c r="O61" s="50"/>
      <c r="P61" s="50"/>
      <c r="Q61" s="50"/>
      <c r="R61" s="50"/>
      <c r="S61" s="50"/>
      <c r="T61" s="50"/>
      <c r="U61" s="50"/>
      <c r="V61" s="50"/>
      <c r="W61" s="50"/>
      <c r="X61" s="50"/>
      <c r="Y61" s="50"/>
      <c r="Z61" s="50"/>
      <c r="AA61" s="50"/>
      <c r="AB61" s="50"/>
      <c r="AC61" s="50"/>
      <c r="AD61" s="50"/>
      <c r="AE61" s="50"/>
      <c r="AF61" s="50"/>
      <c r="AG61" s="50"/>
      <c r="AH61" s="50"/>
      <c r="AI61" s="50"/>
      <c r="AJ61" s="50"/>
      <c r="AK61" s="50"/>
      <c r="AL61" s="50"/>
      <c r="AM61" s="50"/>
      <c r="AN61" s="50"/>
      <c r="AO61" s="50"/>
      <c r="AP61" s="50"/>
      <c r="AQ61" s="50"/>
      <c r="AR61" s="50"/>
      <c r="AS61" s="50"/>
      <c r="AT61" s="50"/>
      <c r="AU61" s="50"/>
      <c r="AV61" s="50"/>
      <c r="AW61" s="50"/>
      <c r="AX61" s="50"/>
      <c r="AY61" s="50"/>
      <c r="AZ61" s="50"/>
      <c r="BA61" s="50"/>
      <c r="BB61" s="50"/>
      <c r="BC61" s="50"/>
      <c r="BD61" s="50"/>
      <c r="BE61" s="50"/>
      <c r="BF61" s="50"/>
      <c r="BG61" s="50"/>
      <c r="BH61" s="50"/>
      <c r="BI61" s="50"/>
      <c r="BJ61" s="50"/>
      <c r="BK61" s="50"/>
      <c r="BL61" s="50"/>
      <c r="BM61" s="50"/>
      <c r="BN61" s="50"/>
      <c r="BO61" s="50"/>
      <c r="BP61" s="50"/>
      <c r="BQ61" s="50"/>
      <c r="BR61" s="50"/>
      <c r="BS61" s="50"/>
      <c r="BT61" s="50"/>
      <c r="BU61" s="50"/>
      <c r="BV61" s="50"/>
      <c r="BW61" s="50"/>
      <c r="BX61" s="50"/>
      <c r="BY61" s="50"/>
      <c r="BZ61" s="50"/>
      <c r="CA61" s="50"/>
      <c r="CB61" s="50"/>
      <c r="CC61" s="50"/>
      <c r="CD61" s="50"/>
      <c r="CE61" s="50"/>
      <c r="CF61" s="50"/>
      <c r="CG61" s="50"/>
      <c r="CH61" s="50"/>
      <c r="CI61" s="50"/>
      <c r="CJ61" s="50"/>
      <c r="CK61" s="50"/>
      <c r="CL61" s="50"/>
      <c r="CM61" s="50"/>
      <c r="CN61" s="50"/>
      <c r="CO61" s="50"/>
      <c r="CP61" s="50"/>
      <c r="CQ61" s="50"/>
      <c r="CR61" s="50"/>
      <c r="CS61" s="50"/>
      <c r="CT61" s="40"/>
      <c r="CW61" s="40"/>
      <c r="CX61" s="40"/>
      <c r="CY61" s="40"/>
      <c r="CZ61" s="40"/>
      <c r="DA61" s="40"/>
      <c r="DB61" s="40"/>
      <c r="DC61" s="40"/>
      <c r="DD61" s="40"/>
      <c r="DE61" s="40"/>
      <c r="DF61" s="40"/>
      <c r="DG61" s="40"/>
      <c r="DH61" s="40"/>
      <c r="DI61" s="40"/>
      <c r="DL61" s="40"/>
      <c r="DM61" s="40"/>
      <c r="DN61" s="40"/>
      <c r="DO61" s="40"/>
      <c r="DP61" s="48" t="s">
        <v>141</v>
      </c>
      <c r="DQ61" s="49">
        <v>-0.01</v>
      </c>
      <c r="DR61" s="40"/>
      <c r="DS61" s="40"/>
      <c r="DT61" s="40"/>
      <c r="DU61" s="40"/>
      <c r="DV61" s="40"/>
      <c r="DW61" s="40"/>
      <c r="DX61" s="40"/>
      <c r="DY61" s="40"/>
      <c r="DZ61" s="40"/>
      <c r="EA61" s="40"/>
      <c r="EB61" s="40"/>
      <c r="EC61" s="40"/>
      <c r="ED61" s="40"/>
      <c r="EE61" s="40"/>
      <c r="EF61" s="40"/>
      <c r="EG61" s="40"/>
      <c r="EH61" s="40"/>
      <c r="EI61" s="40"/>
      <c r="EJ61" s="40"/>
      <c r="EK61" s="40"/>
      <c r="EL61" s="40"/>
      <c r="EM61" s="40"/>
      <c r="EN61" s="40"/>
      <c r="EO61" s="40"/>
      <c r="EP61" s="40"/>
      <c r="EQ61" s="40"/>
      <c r="ER61" s="40"/>
      <c r="ES61" s="40"/>
    </row>
    <row r="62" spans="1:149" ht="13" customHeight="1">
      <c r="B62" s="46" t="s">
        <v>144</v>
      </c>
      <c r="C62" s="52"/>
      <c r="D62" s="52"/>
      <c r="E62" s="52"/>
      <c r="F62" s="52"/>
      <c r="G62" s="53">
        <f t="shared" ref="G62:O62" si="150">G44/C44-1</f>
        <v>0.17750141322781232</v>
      </c>
      <c r="H62" s="53">
        <f t="shared" si="150"/>
        <v>0.17020702070207028</v>
      </c>
      <c r="I62" s="53">
        <f t="shared" si="150"/>
        <v>0.11550773608394094</v>
      </c>
      <c r="J62" s="53">
        <f t="shared" si="150"/>
        <v>4.2756099499324574E-2</v>
      </c>
      <c r="K62" s="53">
        <f t="shared" si="150"/>
        <v>9.4095055208833323E-2</v>
      </c>
      <c r="L62" s="53">
        <f t="shared" si="150"/>
        <v>0.18406276440273817</v>
      </c>
      <c r="M62" s="53">
        <f t="shared" si="150"/>
        <v>0.24224790753288161</v>
      </c>
      <c r="N62" s="53">
        <f t="shared" si="150"/>
        <v>0.22886975078119054</v>
      </c>
      <c r="O62" s="53">
        <f t="shared" si="150"/>
        <v>0.14765247915752533</v>
      </c>
      <c r="P62" s="53"/>
      <c r="Q62" s="53"/>
      <c r="R62" s="53"/>
      <c r="S62" s="53"/>
      <c r="T62" s="53"/>
      <c r="U62" s="53"/>
      <c r="V62" s="53"/>
      <c r="W62" s="53"/>
      <c r="X62" s="53"/>
      <c r="Y62" s="53"/>
      <c r="Z62" s="53"/>
      <c r="AA62" s="53"/>
      <c r="AB62" s="53"/>
      <c r="AC62" s="53"/>
      <c r="AD62" s="53"/>
      <c r="AE62" s="53"/>
      <c r="AF62" s="53"/>
      <c r="AG62" s="53"/>
      <c r="AH62" s="53"/>
      <c r="AI62" s="53"/>
      <c r="AJ62" s="53"/>
      <c r="AK62" s="53"/>
      <c r="AL62" s="53"/>
      <c r="AM62" s="53"/>
      <c r="AN62" s="53"/>
      <c r="AO62" s="53"/>
      <c r="AP62" s="53"/>
      <c r="AQ62" s="53">
        <f t="shared" ref="AQ62" si="151">AQ44/AM44-1</f>
        <v>-5.349360326163366E-2</v>
      </c>
      <c r="AR62" s="53">
        <f t="shared" ref="AR62" si="152">AR44/AN44-1</f>
        <v>-4.2984845310426678E-2</v>
      </c>
      <c r="AS62" s="53">
        <f t="shared" ref="AS62" si="153">AS44/AO44-1</f>
        <v>4.3135192004208234E-2</v>
      </c>
      <c r="AT62" s="53">
        <f t="shared" ref="AT62" si="154">AT44/AP44-1</f>
        <v>6.2160617319234168E-2</v>
      </c>
      <c r="AU62" s="53">
        <f t="shared" ref="AU62:AV62" si="155">AU44/AQ44-1</f>
        <v>8.7671741552172389E-2</v>
      </c>
      <c r="AV62" s="53">
        <f t="shared" si="155"/>
        <v>9.5924398876199524E-2</v>
      </c>
      <c r="AW62" s="53">
        <f t="shared" ref="AW62" si="156">AW44/AS44-1</f>
        <v>9.0591455946977817E-2</v>
      </c>
      <c r="AX62" s="53">
        <f t="shared" ref="AX62" si="157">AX44/AT44-1</f>
        <v>9.0306740212565684E-2</v>
      </c>
      <c r="AY62" s="53">
        <f t="shared" ref="AY62" si="158">AY44/AU44-1</f>
        <v>0.15649858318254761</v>
      </c>
      <c r="AZ62" s="53">
        <f t="shared" ref="AZ62" si="159">AZ44/AV44-1</f>
        <v>-9.9880143827402179E-4</v>
      </c>
      <c r="BA62" s="53">
        <f t="shared" ref="BA62:BH62" si="160">BA44/AW44-1</f>
        <v>2.1468441391155002E-2</v>
      </c>
      <c r="BB62" s="53">
        <f t="shared" si="160"/>
        <v>-8.6065953049325739E-3</v>
      </c>
      <c r="BC62" s="53">
        <f t="shared" si="160"/>
        <v>-2.0959409594095701E-3</v>
      </c>
      <c r="BD62" s="53">
        <f t="shared" si="160"/>
        <v>0.10114643737919082</v>
      </c>
      <c r="BE62" s="53">
        <f t="shared" si="160"/>
        <v>0.15180909884566884</v>
      </c>
      <c r="BF62" s="53">
        <f t="shared" si="160"/>
        <v>0.19276246188312895</v>
      </c>
      <c r="BG62" s="53">
        <f t="shared" si="160"/>
        <v>0.24337356525854936</v>
      </c>
      <c r="BH62" s="53">
        <f t="shared" si="160"/>
        <v>0.24890287824218404</v>
      </c>
      <c r="BI62" s="53">
        <f t="shared" ref="BI62:BJ62" si="161">BI44/BE44-1</f>
        <v>0.27915333221043181</v>
      </c>
      <c r="BJ62" s="53">
        <f t="shared" si="161"/>
        <v>0.2545848224767171</v>
      </c>
      <c r="BK62" s="53">
        <f t="shared" ref="BK62:BV62" si="162">BK44/BG44-1</f>
        <v>0.26970569341676387</v>
      </c>
      <c r="BL62" s="53">
        <f t="shared" si="162"/>
        <v>0.31588513267902574</v>
      </c>
      <c r="BM62" s="53">
        <f t="shared" si="162"/>
        <v>0.28892156432427685</v>
      </c>
      <c r="BN62" s="53">
        <f t="shared" si="162"/>
        <v>0.36952091824003985</v>
      </c>
      <c r="BO62" s="53">
        <f t="shared" si="162"/>
        <v>0.22452077126314007</v>
      </c>
      <c r="BP62" s="53">
        <f t="shared" si="162"/>
        <v>0.2534069981583793</v>
      </c>
      <c r="BQ62" s="53">
        <f t="shared" si="162"/>
        <v>0.21419693177368004</v>
      </c>
      <c r="BR62" s="53">
        <f t="shared" si="162"/>
        <v>0.30092768322123198</v>
      </c>
      <c r="BS62" s="53">
        <f>BS44/BO44-1</f>
        <v>0.19492264610016985</v>
      </c>
      <c r="BT62" s="53">
        <f t="shared" si="162"/>
        <v>0.12925359976491335</v>
      </c>
      <c r="BU62" s="53">
        <f t="shared" si="162"/>
        <v>5.1394595504199891E-2</v>
      </c>
      <c r="BV62" s="53">
        <f t="shared" si="162"/>
        <v>5.3510031161374538E-3</v>
      </c>
      <c r="BW62" s="53"/>
      <c r="BX62" s="53"/>
      <c r="BY62" s="53"/>
      <c r="BZ62" s="53"/>
      <c r="CA62" s="52"/>
      <c r="CB62" s="52"/>
      <c r="CC62" s="54">
        <f>CC44/CB44-1</f>
        <v>0.20341466989081858</v>
      </c>
      <c r="CD62" s="54">
        <f>CD44/CC44-1</f>
        <v>0.24733605309626738</v>
      </c>
      <c r="CE62" s="54">
        <f>CE44/CD44-1</f>
        <v>0.14156700024408098</v>
      </c>
      <c r="CF62" s="54">
        <f>CF44/CE44-1</f>
        <v>6.333119521060504E-2</v>
      </c>
      <c r="CG62" s="54">
        <f>CG44/CF44-1</f>
        <v>-1</v>
      </c>
      <c r="CH62" s="54"/>
      <c r="CI62" s="54"/>
      <c r="CJ62" s="54"/>
      <c r="CK62" s="54"/>
      <c r="CL62" s="54"/>
      <c r="CM62" s="54"/>
      <c r="CN62" s="54">
        <f t="shared" ref="CN62:CX62" si="163">CN44/CM44-1</f>
        <v>0.18784325222319942</v>
      </c>
      <c r="CO62" s="54">
        <f t="shared" si="163"/>
        <v>9.164801895485053E-2</v>
      </c>
      <c r="CP62" s="54">
        <f t="shared" si="163"/>
        <v>0.17604678503602322</v>
      </c>
      <c r="CQ62" s="54">
        <f t="shared" si="163"/>
        <v>7.1078871145515699E-2</v>
      </c>
      <c r="CR62" s="54">
        <f t="shared" si="163"/>
        <v>6.262863159910026E-2</v>
      </c>
      <c r="CS62" s="54">
        <f t="shared" si="163"/>
        <v>0.21531202846654507</v>
      </c>
      <c r="CT62" s="54">
        <f t="shared" si="163"/>
        <v>3.5700056519684553E-2</v>
      </c>
      <c r="CU62" s="54">
        <f t="shared" si="163"/>
        <v>-7.5147611379500212E-4</v>
      </c>
      <c r="CV62" s="54">
        <f t="shared" si="163"/>
        <v>1.208637730984119E-3</v>
      </c>
      <c r="CW62" s="54">
        <f t="shared" si="163"/>
        <v>9.1119635879139071E-2</v>
      </c>
      <c r="CX62" s="54">
        <f t="shared" si="163"/>
        <v>4.0361904918005953E-2</v>
      </c>
      <c r="CY62" s="54">
        <f>CY44/CX44-1</f>
        <v>0.10913301718841084</v>
      </c>
      <c r="CZ62" s="54">
        <f>CZ44/CY44-1</f>
        <v>0.25677556818181824</v>
      </c>
      <c r="DA62" s="54">
        <f>DA44/CZ44-1</f>
        <v>0.31255015427738275</v>
      </c>
      <c r="DB62" s="54">
        <f>DB44/DA44-1</f>
        <v>0.25033044721240327</v>
      </c>
      <c r="DC62" s="54">
        <f>DC44/DB44-1</f>
        <v>8.8354769062302996E-2</v>
      </c>
      <c r="DD62" s="54">
        <f t="shared" ref="DD62:DM62" si="164">DD44/DC44-1</f>
        <v>-5.3204677039268455E-2</v>
      </c>
      <c r="DE62" s="54">
        <f t="shared" si="164"/>
        <v>-5.2707809776032177E-2</v>
      </c>
      <c r="DF62" s="54">
        <f t="shared" si="164"/>
        <v>-5.2286778929650057E-2</v>
      </c>
      <c r="DG62" s="54">
        <f t="shared" si="164"/>
        <v>2.2515652424449639E-2</v>
      </c>
      <c r="DH62" s="54">
        <f t="shared" si="164"/>
        <v>-2.6027928324850902E-2</v>
      </c>
      <c r="DI62" s="54">
        <f t="shared" si="164"/>
        <v>-7.3697334159833483E-2</v>
      </c>
      <c r="DJ62" s="54">
        <f t="shared" si="164"/>
        <v>-4.6010795345790112E-2</v>
      </c>
      <c r="DK62" s="54">
        <f t="shared" si="164"/>
        <v>-1.7163530488252476E-2</v>
      </c>
      <c r="DL62" s="54">
        <f t="shared" si="164"/>
        <v>1.3005223749384953E-2</v>
      </c>
      <c r="DM62" s="54">
        <f t="shared" si="164"/>
        <v>4.4425123377979325E-2</v>
      </c>
      <c r="DN62" s="39"/>
      <c r="DO62" s="39"/>
      <c r="DP62" s="71" t="s">
        <v>142</v>
      </c>
      <c r="DQ62" s="72">
        <v>0.08</v>
      </c>
      <c r="DR62" s="39"/>
      <c r="DS62" s="39"/>
      <c r="DT62" s="39"/>
      <c r="DU62" s="39"/>
      <c r="DV62" s="39"/>
      <c r="DW62" s="39"/>
      <c r="DX62" s="39"/>
      <c r="DY62" s="39"/>
      <c r="DZ62" s="39"/>
      <c r="EA62" s="39"/>
      <c r="EB62" s="39"/>
      <c r="EC62" s="39"/>
      <c r="ED62" s="39"/>
      <c r="EE62" s="39"/>
      <c r="EF62" s="39"/>
      <c r="EG62" s="39"/>
      <c r="EH62" s="39"/>
      <c r="EI62" s="39"/>
      <c r="EJ62" s="39"/>
      <c r="EK62" s="39"/>
      <c r="EL62" s="39"/>
      <c r="EM62" s="39"/>
      <c r="EN62" s="39"/>
      <c r="EO62" s="39"/>
      <c r="EP62" s="39"/>
      <c r="EQ62" s="39"/>
      <c r="ER62" s="39"/>
      <c r="ES62" s="39"/>
    </row>
    <row r="63" spans="1:149" s="12" customFormat="1" ht="13" customHeight="1">
      <c r="A63" s="8"/>
      <c r="B63" s="9" t="s">
        <v>145</v>
      </c>
      <c r="C63" s="67"/>
      <c r="D63" s="67"/>
      <c r="E63" s="67"/>
      <c r="F63" s="67"/>
      <c r="G63" s="68"/>
      <c r="H63" s="68"/>
      <c r="I63" s="68"/>
      <c r="J63" s="68"/>
      <c r="K63" s="68">
        <v>0.11</v>
      </c>
      <c r="L63" s="68"/>
      <c r="M63" s="68"/>
      <c r="N63" s="68"/>
      <c r="O63" s="68"/>
      <c r="P63" s="68"/>
      <c r="Q63" s="68"/>
      <c r="R63" s="68"/>
      <c r="S63" s="68"/>
      <c r="T63" s="68"/>
      <c r="U63" s="68"/>
      <c r="V63" s="68"/>
      <c r="W63" s="68"/>
      <c r="X63" s="68"/>
      <c r="Y63" s="68"/>
      <c r="Z63" s="68"/>
      <c r="AA63" s="68"/>
      <c r="AB63" s="68"/>
      <c r="AC63" s="68"/>
      <c r="AD63" s="68"/>
      <c r="AE63" s="68"/>
      <c r="AF63" s="68"/>
      <c r="AG63" s="68"/>
      <c r="AH63" s="68"/>
      <c r="AI63" s="68"/>
      <c r="AJ63" s="68"/>
      <c r="AK63" s="68"/>
      <c r="AL63" s="68"/>
      <c r="AM63" s="68"/>
      <c r="AN63" s="68"/>
      <c r="AO63" s="68"/>
      <c r="AP63" s="68"/>
      <c r="AQ63" s="69">
        <v>0.05</v>
      </c>
      <c r="AR63" s="69">
        <v>0.02</v>
      </c>
      <c r="AS63" s="69">
        <v>0.05</v>
      </c>
      <c r="AT63" s="69">
        <v>0.06</v>
      </c>
      <c r="AU63" s="69">
        <v>0.04</v>
      </c>
      <c r="AV63" s="69">
        <v>0.06</v>
      </c>
      <c r="AW63" s="69">
        <v>0.06</v>
      </c>
      <c r="AX63" s="69">
        <v>0.06</v>
      </c>
      <c r="AY63" s="69">
        <v>0.14000000000000001</v>
      </c>
      <c r="AZ63" s="69">
        <v>0</v>
      </c>
      <c r="BA63" s="69">
        <v>7.0000000000000007E-2</v>
      </c>
      <c r="BB63" s="69">
        <v>0.05</v>
      </c>
      <c r="BC63" s="69">
        <v>7.0000000000000007E-2</v>
      </c>
      <c r="BD63" s="69">
        <v>0.17</v>
      </c>
      <c r="BE63" s="69">
        <v>0.15</v>
      </c>
      <c r="BF63" s="69">
        <v>0.16</v>
      </c>
      <c r="BG63" s="69">
        <v>0.18</v>
      </c>
      <c r="BH63" s="69">
        <v>0.15</v>
      </c>
      <c r="BI63" s="69">
        <v>0.15</v>
      </c>
      <c r="BJ63" s="69">
        <v>0.18</v>
      </c>
      <c r="BK63" s="69">
        <v>0.25</v>
      </c>
      <c r="BL63" s="69">
        <v>0.36</v>
      </c>
      <c r="BM63" s="69">
        <v>0.38</v>
      </c>
      <c r="BN63" s="69">
        <v>0.43</v>
      </c>
      <c r="BO63" s="69">
        <v>0.24</v>
      </c>
      <c r="BP63" s="69">
        <v>0.25</v>
      </c>
      <c r="BQ63" s="69">
        <v>0.23</v>
      </c>
      <c r="BR63" s="69">
        <v>0.3</v>
      </c>
      <c r="BS63" s="69">
        <v>0.18</v>
      </c>
      <c r="BT63" s="69">
        <v>0.18</v>
      </c>
      <c r="BU63" s="69">
        <v>0.11</v>
      </c>
      <c r="BV63" s="69"/>
      <c r="BW63" s="69"/>
      <c r="BX63" s="69"/>
      <c r="BY63" s="69"/>
      <c r="BZ63" s="69"/>
      <c r="CA63" s="67"/>
      <c r="CB63" s="67"/>
      <c r="CC63" s="69"/>
      <c r="CD63" s="69"/>
      <c r="CE63" s="69"/>
      <c r="CF63" s="69"/>
      <c r="CG63" s="69"/>
      <c r="CH63" s="69"/>
      <c r="CI63" s="69"/>
      <c r="CJ63" s="69"/>
      <c r="CK63" s="69"/>
      <c r="CL63" s="69"/>
      <c r="CM63" s="69"/>
      <c r="CN63" s="69" t="s">
        <v>146</v>
      </c>
      <c r="CO63" s="69"/>
      <c r="CP63" s="69"/>
      <c r="CQ63" s="69"/>
      <c r="CR63" s="69"/>
      <c r="CS63" s="69"/>
      <c r="CV63" s="70"/>
      <c r="DA63" s="69">
        <v>0.36</v>
      </c>
      <c r="DP63" s="48" t="s">
        <v>143</v>
      </c>
      <c r="DQ63" s="45">
        <f>NPV(DQ62,DD58:FR58)+CO58+Main!J5-Main!J6</f>
        <v>1491029.2505743969</v>
      </c>
    </row>
    <row r="64" spans="1:149" ht="13" customHeight="1">
      <c r="B64" s="46" t="s">
        <v>183</v>
      </c>
      <c r="C64" s="52"/>
      <c r="D64" s="52"/>
      <c r="E64" s="52"/>
      <c r="F64" s="52"/>
      <c r="G64" s="53"/>
      <c r="H64" s="53"/>
      <c r="I64" s="53"/>
      <c r="J64" s="53"/>
      <c r="K64" s="53"/>
      <c r="L64" s="53"/>
      <c r="M64" s="53"/>
      <c r="N64" s="53"/>
      <c r="O64" s="53"/>
      <c r="P64" s="53"/>
      <c r="Q64" s="53"/>
      <c r="R64" s="53"/>
      <c r="S64" s="53"/>
      <c r="T64" s="53"/>
      <c r="U64" s="53"/>
      <c r="V64" s="53"/>
      <c r="W64" s="53"/>
      <c r="X64" s="53"/>
      <c r="Y64" s="53"/>
      <c r="Z64" s="53"/>
      <c r="AA64" s="53"/>
      <c r="AB64" s="53"/>
      <c r="AC64" s="53"/>
      <c r="AD64" s="53"/>
      <c r="AE64" s="53"/>
      <c r="AF64" s="53"/>
      <c r="AG64" s="53"/>
      <c r="AH64" s="53"/>
      <c r="AI64" s="53"/>
      <c r="AJ64" s="53"/>
      <c r="AK64" s="53"/>
      <c r="AL64" s="53"/>
      <c r="AM64" s="53"/>
      <c r="AN64" s="53"/>
      <c r="AO64" s="53"/>
      <c r="AP64" s="53"/>
      <c r="AQ64" s="53"/>
      <c r="AR64" s="53"/>
      <c r="AS64" s="53"/>
      <c r="AT64" s="53"/>
      <c r="AU64" s="54">
        <f>AU28/AQ28-1</f>
        <v>19.652173913043477</v>
      </c>
      <c r="AV64" s="54">
        <f t="shared" ref="AV64" si="165">AV28/AR28-1</f>
        <v>10.923076923076923</v>
      </c>
      <c r="AW64" s="54">
        <f t="shared" ref="AW64" si="166">AW28/AS28-1</f>
        <v>4.7814814814814817</v>
      </c>
      <c r="AX64" s="54">
        <f t="shared" ref="AX64" si="167">AX28/AT28-1</f>
        <v>3.400201612903226</v>
      </c>
      <c r="AY64" s="54">
        <f t="shared" ref="AY64" si="168">AY28/AU28-1</f>
        <v>2.3368421052631581</v>
      </c>
      <c r="AZ64" s="54">
        <f t="shared" ref="AZ64" si="169">AZ28/AV28-1</f>
        <v>1.08</v>
      </c>
      <c r="BA64" s="54">
        <f t="shared" ref="BA64:BH64" si="170">BA28/AW28-1</f>
        <v>0.73991031390134521</v>
      </c>
      <c r="BB64" s="54">
        <f t="shared" si="170"/>
        <v>0.41764032073310431</v>
      </c>
      <c r="BC64" s="54">
        <f t="shared" si="170"/>
        <v>0.40105152471083061</v>
      </c>
      <c r="BD64" s="54">
        <f t="shared" si="170"/>
        <v>0.53742762613730366</v>
      </c>
      <c r="BE64" s="54">
        <f t="shared" si="170"/>
        <v>0.63696612665684826</v>
      </c>
      <c r="BF64" s="54">
        <f t="shared" si="170"/>
        <v>0.73173884938590827</v>
      </c>
      <c r="BG64" s="54">
        <f t="shared" si="170"/>
        <v>0.80651456019213441</v>
      </c>
      <c r="BH64" s="54">
        <f t="shared" si="170"/>
        <v>0.9299260255548083</v>
      </c>
      <c r="BI64" s="54">
        <f t="shared" ref="BI64:BQ64" si="171">BI28/BE28-1</f>
        <v>0.84322986954565904</v>
      </c>
      <c r="BJ64" s="54">
        <f t="shared" si="171"/>
        <v>0.58417319895483399</v>
      </c>
      <c r="BK64" s="54">
        <f t="shared" si="171"/>
        <v>0.63190693809721643</v>
      </c>
      <c r="BL64" s="54">
        <f t="shared" si="171"/>
        <v>0.54024670708760203</v>
      </c>
      <c r="BM64" s="54">
        <f t="shared" si="171"/>
        <v>0.45893837705918239</v>
      </c>
      <c r="BN64" s="54">
        <f t="shared" si="171"/>
        <v>0.77102968897266733</v>
      </c>
      <c r="BO64" s="54">
        <f t="shared" si="171"/>
        <v>0.41598778004073322</v>
      </c>
      <c r="BP64" s="54">
        <f>BP28/BL28-1</f>
        <v>0.30650196823673137</v>
      </c>
      <c r="BQ64" s="54">
        <f t="shared" si="171"/>
        <v>0.24640347942455665</v>
      </c>
      <c r="BR64" s="54">
        <f>BR28/BN28-1</f>
        <v>0.12599368035922165</v>
      </c>
      <c r="BS64" s="54">
        <f>BS28/BO28-1</f>
        <v>0.1765911542610572</v>
      </c>
      <c r="BT64" s="54">
        <f>BT28/BP28-1</f>
        <v>0.10126406926406917</v>
      </c>
      <c r="BU64" s="54">
        <f>BU28/BQ28-1</f>
        <v>3.1539390685813906E-2</v>
      </c>
      <c r="BV64" s="54"/>
      <c r="BW64" s="54"/>
      <c r="BX64" s="54"/>
      <c r="BY64" s="54"/>
      <c r="BZ64" s="54"/>
      <c r="CA64" s="52"/>
      <c r="CB64" s="52"/>
      <c r="CC64" s="54"/>
      <c r="CD64" s="54"/>
      <c r="CE64" s="54"/>
      <c r="CF64" s="54"/>
      <c r="CG64" s="54"/>
      <c r="CH64" s="54"/>
      <c r="CI64" s="54"/>
      <c r="CJ64" s="54"/>
      <c r="CK64" s="54"/>
      <c r="CL64" s="54"/>
      <c r="CM64" s="54"/>
      <c r="CN64" s="54"/>
      <c r="CO64" s="54"/>
      <c r="CP64" s="54"/>
      <c r="CQ64" s="54"/>
      <c r="CR64" s="54"/>
      <c r="CS64" s="54"/>
      <c r="CT64" s="39"/>
      <c r="CU64" s="39"/>
      <c r="CV64" s="36"/>
      <c r="CW64" s="49"/>
      <c r="CX64" s="49"/>
      <c r="CY64" s="49">
        <f t="shared" ref="CY64:DM64" si="172">+CY28/CX28-1</f>
        <v>0.58903399179670934</v>
      </c>
      <c r="CZ64" s="49">
        <f t="shared" si="172"/>
        <v>0.77273401572466982</v>
      </c>
      <c r="DA64" s="49">
        <f t="shared" si="172"/>
        <v>0.6019748953974895</v>
      </c>
      <c r="DB64" s="49">
        <f t="shared" si="172"/>
        <v>0.25725568858521908</v>
      </c>
      <c r="DC64" s="49">
        <f t="shared" si="172"/>
        <v>8.6982516494656936E-2</v>
      </c>
      <c r="DD64" s="49">
        <f t="shared" si="172"/>
        <v>-5.0000000000000044E-2</v>
      </c>
      <c r="DE64" s="49">
        <f t="shared" si="172"/>
        <v>-5.0000000000000044E-2</v>
      </c>
      <c r="DF64" s="49">
        <f t="shared" si="172"/>
        <v>-5.0000000000000044E-2</v>
      </c>
      <c r="DG64" s="49">
        <f t="shared" si="172"/>
        <v>-5.0000000000000044E-2</v>
      </c>
      <c r="DH64" s="49">
        <f t="shared" si="172"/>
        <v>-5.0000000000000044E-2</v>
      </c>
      <c r="DI64" s="49">
        <f t="shared" si="172"/>
        <v>-5.0000000000000155E-2</v>
      </c>
      <c r="DJ64" s="49">
        <f t="shared" si="172"/>
        <v>-4.9999999999999933E-2</v>
      </c>
      <c r="DK64" s="49">
        <f t="shared" si="172"/>
        <v>-5.0000000000000044E-2</v>
      </c>
      <c r="DL64" s="49">
        <f t="shared" si="172"/>
        <v>-5.0000000000000155E-2</v>
      </c>
      <c r="DM64" s="49">
        <f t="shared" si="172"/>
        <v>-5.0000000000000044E-2</v>
      </c>
      <c r="DN64" s="39"/>
      <c r="DO64" s="39"/>
      <c r="DP64" s="36" t="s">
        <v>570</v>
      </c>
      <c r="DQ64" s="51">
        <f>DQ63/Main!$J$3</f>
        <v>335.36420390787157</v>
      </c>
      <c r="DR64" s="39"/>
      <c r="DS64" s="39"/>
      <c r="DT64" s="39"/>
      <c r="DU64" s="39"/>
      <c r="DV64" s="39"/>
      <c r="DW64" s="39"/>
      <c r="DX64" s="39"/>
      <c r="DY64" s="39"/>
      <c r="DZ64" s="39"/>
      <c r="EA64" s="39"/>
      <c r="EB64" s="39"/>
      <c r="EC64" s="39"/>
      <c r="ED64" s="39"/>
      <c r="EE64" s="39"/>
      <c r="EF64" s="39"/>
      <c r="EG64" s="39"/>
      <c r="EH64" s="39"/>
      <c r="EI64" s="39"/>
      <c r="EJ64" s="39"/>
      <c r="EK64" s="39"/>
      <c r="EL64" s="39"/>
      <c r="EM64" s="39"/>
      <c r="EN64" s="39"/>
      <c r="EO64" s="39"/>
      <c r="EP64" s="39"/>
      <c r="EQ64" s="39"/>
      <c r="ER64" s="39"/>
      <c r="ES64" s="39"/>
    </row>
    <row r="65" spans="1:149" ht="13" customHeight="1">
      <c r="B65" s="46" t="s">
        <v>184</v>
      </c>
      <c r="C65" s="52"/>
      <c r="D65" s="52"/>
      <c r="E65" s="52"/>
      <c r="F65" s="52"/>
      <c r="G65" s="53"/>
      <c r="H65" s="53"/>
      <c r="I65" s="53"/>
      <c r="J65" s="53"/>
      <c r="K65" s="53"/>
      <c r="L65" s="53"/>
      <c r="M65" s="53"/>
      <c r="N65" s="53"/>
      <c r="O65" s="53"/>
      <c r="P65" s="53"/>
      <c r="Q65" s="53"/>
      <c r="R65" s="53"/>
      <c r="S65" s="53"/>
      <c r="T65" s="53"/>
      <c r="U65" s="53"/>
      <c r="V65" s="53"/>
      <c r="W65" s="53"/>
      <c r="X65" s="53"/>
      <c r="Y65" s="53"/>
      <c r="Z65" s="53"/>
      <c r="AA65" s="53"/>
      <c r="AB65" s="53"/>
      <c r="AC65" s="53"/>
      <c r="AD65" s="53"/>
      <c r="AE65" s="53"/>
      <c r="AF65" s="53"/>
      <c r="AG65" s="53"/>
      <c r="AH65" s="53"/>
      <c r="AI65" s="53"/>
      <c r="AJ65" s="53"/>
      <c r="AK65" s="53"/>
      <c r="AL65" s="53"/>
      <c r="AM65" s="53"/>
      <c r="AN65" s="53"/>
      <c r="AO65" s="53"/>
      <c r="AP65" s="53"/>
      <c r="AQ65" s="53"/>
      <c r="AR65" s="53"/>
      <c r="AS65" s="53"/>
      <c r="AT65" s="53"/>
      <c r="AU65" s="54">
        <f t="shared" ref="AU65" si="173">SUM(AU26:AU32)/SUM(AQ26:AQ32)-1</f>
        <v>0.22407732864674879</v>
      </c>
      <c r="AV65" s="54">
        <f t="shared" ref="AV65" si="174">SUM(AV26:AV32)/SUM(AR26:AR32)-1</f>
        <v>0.35184369031878937</v>
      </c>
      <c r="AW65" s="54">
        <f t="shared" ref="AW65" si="175">SUM(AW26:AW32)/SUM(AS26:AS32)-1</f>
        <v>0.29992148652185291</v>
      </c>
      <c r="AX65" s="54">
        <f t="shared" ref="AX65" si="176">SUM(AX26:AX32)/SUM(AT26:AT32)-1</f>
        <v>0.30787753697970421</v>
      </c>
      <c r="AY65" s="54">
        <f t="shared" ref="AY65" si="177">SUM(AY26:AY32)/SUM(AU26:AU32)-1</f>
        <v>0.38214883943527167</v>
      </c>
      <c r="AZ65" s="54">
        <f t="shared" ref="AZ65" si="178">SUM(AZ26:AZ32)/SUM(AV26:AV32)-1</f>
        <v>0.16637687459247985</v>
      </c>
      <c r="BA65" s="54">
        <f t="shared" ref="BA65:BU65" si="179">SUM(BA26:BA32)/SUM(AW26:AW32)-1</f>
        <v>0.20686531105294947</v>
      </c>
      <c r="BB65" s="54">
        <f t="shared" si="179"/>
        <v>0.15421707873049262</v>
      </c>
      <c r="BC65" s="54">
        <f t="shared" si="179"/>
        <v>0.11244806094182835</v>
      </c>
      <c r="BD65" s="54">
        <f t="shared" si="179"/>
        <v>0.31081710612130808</v>
      </c>
      <c r="BE65" s="54">
        <f t="shared" si="179"/>
        <v>0.35507548586204019</v>
      </c>
      <c r="BF65" s="54">
        <f t="shared" si="179"/>
        <v>0.43038359285985561</v>
      </c>
      <c r="BG65" s="54">
        <f t="shared" si="179"/>
        <v>0.62026301455139676</v>
      </c>
      <c r="BH65" s="54">
        <f t="shared" si="179"/>
        <v>0.62584405430378842</v>
      </c>
      <c r="BI65" s="54">
        <f>SUM(BI26:BI32)/SUM(BE26:BE32)-1</f>
        <v>0.64341991874923066</v>
      </c>
      <c r="BJ65" s="54">
        <f t="shared" si="179"/>
        <v>0.58462110349954854</v>
      </c>
      <c r="BK65" s="54">
        <f t="shared" si="179"/>
        <v>0.66424935164729604</v>
      </c>
      <c r="BL65" s="54">
        <f t="shared" si="179"/>
        <v>0.67137361196117862</v>
      </c>
      <c r="BM65" s="54">
        <f t="shared" si="179"/>
        <v>0.60642720701149866</v>
      </c>
      <c r="BN65" s="54">
        <f t="shared" si="179"/>
        <v>0.64175603217158184</v>
      </c>
      <c r="BO65" s="54">
        <f t="shared" si="179"/>
        <v>0.32793697515366627</v>
      </c>
      <c r="BP65" s="54">
        <f t="shared" si="179"/>
        <v>0.33240040804582671</v>
      </c>
      <c r="BQ65" s="54">
        <f t="shared" si="179"/>
        <v>0.25287945908137099</v>
      </c>
      <c r="BR65" s="54">
        <f t="shared" si="179"/>
        <v>0.29779546846295157</v>
      </c>
      <c r="BS65" s="54">
        <f t="shared" si="179"/>
        <v>0.26036030162765944</v>
      </c>
      <c r="BT65" s="54">
        <f t="shared" si="179"/>
        <v>0.1531046938495062</v>
      </c>
      <c r="BU65" s="54">
        <f t="shared" si="179"/>
        <v>7.6391990471936788E-2</v>
      </c>
      <c r="BV65" s="54"/>
      <c r="BW65" s="54"/>
      <c r="BX65" s="54"/>
      <c r="BY65" s="54"/>
      <c r="BZ65" s="54"/>
      <c r="CA65" s="52"/>
      <c r="CB65" s="52"/>
      <c r="CC65" s="54"/>
      <c r="CD65" s="54"/>
      <c r="CE65" s="54"/>
      <c r="CF65" s="54"/>
      <c r="CG65" s="54"/>
      <c r="CH65" s="54"/>
      <c r="CI65" s="54"/>
      <c r="CJ65" s="54"/>
      <c r="CK65" s="54"/>
      <c r="CL65" s="54"/>
      <c r="CM65" s="54"/>
      <c r="CN65" s="54"/>
      <c r="CO65" s="54"/>
      <c r="CP65" s="54"/>
      <c r="CQ65" s="54"/>
      <c r="CR65" s="54"/>
      <c r="CS65" s="54"/>
      <c r="CT65" s="39"/>
      <c r="CU65" s="39"/>
      <c r="CV65" s="36"/>
      <c r="CW65" s="39"/>
      <c r="CX65" s="39"/>
      <c r="CY65" s="4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L65" s="39"/>
      <c r="DM65" s="39"/>
      <c r="DN65" s="39"/>
      <c r="DO65" s="39"/>
      <c r="DP65" s="39" t="s">
        <v>607</v>
      </c>
      <c r="DQ65" s="87">
        <v>333</v>
      </c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  <c r="EP65" s="39"/>
      <c r="EQ65" s="39"/>
      <c r="ER65" s="39"/>
      <c r="ES65" s="39"/>
    </row>
    <row r="66" spans="1:149" ht="13" customHeight="1">
      <c r="B66" s="46" t="s">
        <v>186</v>
      </c>
      <c r="C66" s="52"/>
      <c r="D66" s="52"/>
      <c r="E66" s="52"/>
      <c r="F66" s="52"/>
      <c r="G66" s="53"/>
      <c r="H66" s="53"/>
      <c r="I66" s="53"/>
      <c r="J66" s="53"/>
      <c r="K66" s="53"/>
      <c r="L66" s="53"/>
      <c r="M66" s="53"/>
      <c r="N66" s="53"/>
      <c r="O66" s="53"/>
      <c r="P66" s="53"/>
      <c r="Q66" s="53"/>
      <c r="R66" s="53"/>
      <c r="S66" s="53"/>
      <c r="T66" s="53"/>
      <c r="U66" s="53"/>
      <c r="V66" s="53"/>
      <c r="W66" s="53"/>
      <c r="X66" s="53"/>
      <c r="Y66" s="53"/>
      <c r="Z66" s="53"/>
      <c r="AA66" s="53"/>
      <c r="AB66" s="53"/>
      <c r="AC66" s="53"/>
      <c r="AD66" s="53"/>
      <c r="AE66" s="53"/>
      <c r="AF66" s="53"/>
      <c r="AG66" s="53"/>
      <c r="AH66" s="53"/>
      <c r="AI66" s="53"/>
      <c r="AJ66" s="53"/>
      <c r="AK66" s="53"/>
      <c r="AL66" s="53"/>
      <c r="AM66" s="53"/>
      <c r="AN66" s="53"/>
      <c r="AO66" s="53"/>
      <c r="AP66" s="53"/>
      <c r="AQ66" s="53"/>
      <c r="AR66" s="53"/>
      <c r="AS66" s="53"/>
      <c r="AT66" s="53"/>
      <c r="AU66" s="54">
        <f t="shared" ref="AU66" si="180">AU24/AQ24-1</f>
        <v>5.0071628351183506E-2</v>
      </c>
      <c r="AV66" s="54">
        <f t="shared" ref="AV66" si="181">AV24/AR24-1</f>
        <v>-2.0111731843575398E-2</v>
      </c>
      <c r="AW66" s="54">
        <f t="shared" ref="AW66" si="182">AW24/AS24-1</f>
        <v>-1.335149863760221E-2</v>
      </c>
      <c r="AX66" s="54">
        <f t="shared" ref="AX66" si="183">AX24/AT24-1</f>
        <v>-1.2912197059992025E-2</v>
      </c>
      <c r="AY66" s="54">
        <f t="shared" ref="AY66" si="184">AY24/AU24-1</f>
        <v>3.3846553628272602E-2</v>
      </c>
      <c r="AZ66" s="54">
        <f t="shared" ref="AZ66" si="185">AZ24/AV24-1</f>
        <v>-8.7396874371185151E-2</v>
      </c>
      <c r="BA66" s="54">
        <f t="shared" ref="BA66:BU66" si="186">BA24/AW24-1</f>
        <v>-7.4634078983706109E-2</v>
      </c>
      <c r="BB66" s="54">
        <f t="shared" si="186"/>
        <v>-8.5865700677534074E-2</v>
      </c>
      <c r="BC66" s="54">
        <f t="shared" si="186"/>
        <v>-6.5853965062209419E-2</v>
      </c>
      <c r="BD66" s="54">
        <f t="shared" si="186"/>
        <v>-3.3000146993973245E-2</v>
      </c>
      <c r="BE66" s="54">
        <f t="shared" si="186"/>
        <v>4.5288368275759217E-2</v>
      </c>
      <c r="BF66" s="54">
        <f t="shared" si="186"/>
        <v>2.5390768327584912E-2</v>
      </c>
      <c r="BG66" s="54">
        <f t="shared" si="186"/>
        <v>6.4576886855913784E-3</v>
      </c>
      <c r="BH66" s="54">
        <f t="shared" si="186"/>
        <v>-6.1868207038078604E-2</v>
      </c>
      <c r="BI66" s="54">
        <f t="shared" si="186"/>
        <v>-7.487508922198427E-2</v>
      </c>
      <c r="BJ66" s="54">
        <f t="shared" si="186"/>
        <v>-9.2106204823588333E-2</v>
      </c>
      <c r="BK66" s="54">
        <f t="shared" si="186"/>
        <v>-0.1037962839192621</v>
      </c>
      <c r="BL66" s="54">
        <f t="shared" si="186"/>
        <v>-8.5473547759863933E-2</v>
      </c>
      <c r="BM66" s="54">
        <f t="shared" si="186"/>
        <v>-0.12468173752025302</v>
      </c>
      <c r="BN66" s="54">
        <f t="shared" si="186"/>
        <v>-5.565189973198803E-2</v>
      </c>
      <c r="BO66" s="54">
        <f t="shared" si="186"/>
        <v>7.129539861287193E-2</v>
      </c>
      <c r="BP66" s="54">
        <f t="shared" si="186"/>
        <v>0.11729270021261518</v>
      </c>
      <c r="BQ66" s="54">
        <f t="shared" si="186"/>
        <v>0.10260026443367121</v>
      </c>
      <c r="BR66" s="54">
        <f t="shared" si="186"/>
        <v>0.32612687813021712</v>
      </c>
      <c r="BS66" s="54">
        <f t="shared" si="186"/>
        <v>4.3995823181343541E-2</v>
      </c>
      <c r="BT66" s="54">
        <f t="shared" si="186"/>
        <v>1.0624801776086157E-2</v>
      </c>
      <c r="BU66" s="54">
        <f t="shared" si="186"/>
        <v>-4.1250299784155398E-2</v>
      </c>
      <c r="BV66" s="54"/>
      <c r="BW66" s="54"/>
      <c r="BX66" s="54"/>
      <c r="BY66" s="54"/>
      <c r="BZ66" s="54"/>
      <c r="CA66" s="52"/>
      <c r="CB66" s="52"/>
      <c r="CC66" s="54"/>
      <c r="CD66" s="54"/>
      <c r="CE66" s="54"/>
      <c r="CF66" s="54"/>
      <c r="CG66" s="54"/>
      <c r="CH66" s="54"/>
      <c r="CI66" s="54"/>
      <c r="CJ66" s="54"/>
      <c r="CK66" s="54"/>
      <c r="CL66" s="54"/>
      <c r="CM66" s="54"/>
      <c r="CN66" s="54"/>
      <c r="CO66" s="54"/>
      <c r="CP66" s="54"/>
      <c r="CQ66" s="54"/>
      <c r="CR66" s="54"/>
      <c r="CS66" s="54"/>
      <c r="CT66" s="39"/>
      <c r="CU66" s="39"/>
      <c r="CV66" s="36"/>
      <c r="CW66" s="49"/>
      <c r="CX66" s="49"/>
      <c r="CY66" s="49">
        <f>+CY22/CX22-1</f>
        <v>-1.5164544749040387E-2</v>
      </c>
      <c r="CZ66" s="49">
        <f>+CZ22/CY22-1</f>
        <v>-4.6598798824381338E-2</v>
      </c>
      <c r="DA66" s="49">
        <f>+DA22/CZ22-1</f>
        <v>-9.6903900281463562E-2</v>
      </c>
      <c r="DB66" s="49">
        <f>+DB22/DA22-1</f>
        <v>0.1973384782823786</v>
      </c>
      <c r="DC66" s="39"/>
      <c r="DD66" s="39"/>
      <c r="DE66" s="39"/>
      <c r="DF66" s="39"/>
      <c r="DG66" s="39"/>
      <c r="DH66" s="39"/>
      <c r="DI66" s="39"/>
      <c r="DJ66" s="36"/>
      <c r="DK66" s="51"/>
      <c r="DL66" s="39"/>
      <c r="DM66" s="39"/>
      <c r="DN66" s="39"/>
      <c r="DO66" s="39"/>
      <c r="DP66" s="39"/>
      <c r="DQ66" s="49">
        <f>+DQ64/DQ65-1</f>
        <v>7.099711435049727E-3</v>
      </c>
      <c r="DR66" s="39"/>
      <c r="DS66" s="39"/>
      <c r="DT66" s="39"/>
      <c r="DU66" s="39"/>
      <c r="DV66" s="39"/>
      <c r="DW66" s="39"/>
      <c r="DX66" s="39"/>
      <c r="DY66" s="39"/>
      <c r="DZ66" s="39"/>
      <c r="EA66" s="39"/>
      <c r="EB66" s="39"/>
      <c r="EC66" s="39"/>
      <c r="ED66" s="39"/>
      <c r="EE66" s="39"/>
      <c r="EF66" s="39"/>
      <c r="EG66" s="39"/>
      <c r="EH66" s="39"/>
      <c r="EI66" s="39"/>
      <c r="EJ66" s="39"/>
      <c r="EK66" s="39"/>
      <c r="EL66" s="39"/>
      <c r="EM66" s="39"/>
      <c r="EN66" s="39"/>
      <c r="EO66" s="39"/>
      <c r="EP66" s="39"/>
      <c r="EQ66" s="39"/>
      <c r="ER66" s="39"/>
      <c r="ES66" s="39"/>
    </row>
    <row r="67" spans="1:149" ht="13" customHeight="1">
      <c r="B67" s="36" t="s">
        <v>147</v>
      </c>
      <c r="C67" s="55">
        <f t="shared" ref="C67:N67" si="187">C46/C44</f>
        <v>0.77265875259091765</v>
      </c>
      <c r="D67" s="55">
        <f t="shared" si="187"/>
        <v>0.77011701170117008</v>
      </c>
      <c r="E67" s="55">
        <f t="shared" si="187"/>
        <v>0.76827316379157029</v>
      </c>
      <c r="F67" s="55">
        <f t="shared" si="187"/>
        <v>0.79845823730429943</v>
      </c>
      <c r="G67" s="55">
        <f t="shared" si="187"/>
        <v>0.79932789246279401</v>
      </c>
      <c r="H67" s="55">
        <f t="shared" si="187"/>
        <v>0.79924621182985922</v>
      </c>
      <c r="I67" s="55">
        <f t="shared" si="187"/>
        <v>0.78373854125149467</v>
      </c>
      <c r="J67" s="55">
        <f t="shared" si="187"/>
        <v>0.79468028351497599</v>
      </c>
      <c r="K67" s="55">
        <f t="shared" si="187"/>
        <v>0.80327629077080587</v>
      </c>
      <c r="L67" s="55">
        <f t="shared" si="187"/>
        <v>0.80713264908405868</v>
      </c>
      <c r="M67" s="55">
        <f t="shared" si="187"/>
        <v>0.8116016427104723</v>
      </c>
      <c r="N67" s="55">
        <f t="shared" si="187"/>
        <v>0.8</v>
      </c>
      <c r="O67" s="55"/>
      <c r="P67" s="55"/>
      <c r="Q67" s="55"/>
      <c r="R67" s="55"/>
      <c r="S67" s="55"/>
      <c r="T67" s="55"/>
      <c r="U67" s="55"/>
      <c r="V67" s="55"/>
      <c r="W67" s="55"/>
      <c r="X67" s="55"/>
      <c r="Y67" s="55"/>
      <c r="Z67" s="55"/>
      <c r="AA67" s="55"/>
      <c r="AB67" s="55"/>
      <c r="AC67" s="55"/>
      <c r="AD67" s="55"/>
      <c r="AE67" s="55"/>
      <c r="AF67" s="55"/>
      <c r="AG67" s="55"/>
      <c r="AH67" s="55"/>
      <c r="AI67" s="55"/>
      <c r="AJ67" s="55"/>
      <c r="AK67" s="55"/>
      <c r="AL67" s="55"/>
      <c r="AM67" s="55"/>
      <c r="AN67" s="55"/>
      <c r="AO67" s="55"/>
      <c r="AP67" s="55"/>
      <c r="AQ67" s="55">
        <f t="shared" ref="AQ67:AT67" si="188">AQ46/AQ44</f>
        <v>0.8441515038989974</v>
      </c>
      <c r="AR67" s="55">
        <f t="shared" si="188"/>
        <v>0.84120845039588421</v>
      </c>
      <c r="AS67" s="55">
        <f t="shared" si="188"/>
        <v>0.84096967077299911</v>
      </c>
      <c r="AT67" s="55">
        <f t="shared" si="188"/>
        <v>0.8435019507601238</v>
      </c>
      <c r="AU67" s="55">
        <f t="shared" ref="AU67:AW67" si="189">AU46/AU44</f>
        <v>0.83844867024000547</v>
      </c>
      <c r="AV67" s="55">
        <f t="shared" si="189"/>
        <v>0.83856039419363426</v>
      </c>
      <c r="AW67" s="55">
        <f t="shared" si="189"/>
        <v>0.83238101529213593</v>
      </c>
      <c r="AX67" s="55">
        <f t="shared" ref="AX67:BV67" si="190">AX46/AX44</f>
        <v>0.83243359965450225</v>
      </c>
      <c r="AY67" s="55">
        <f t="shared" si="190"/>
        <v>0.84100369003690034</v>
      </c>
      <c r="AZ67" s="55">
        <f t="shared" si="190"/>
        <v>0.84096514030527225</v>
      </c>
      <c r="BA67" s="55">
        <f t="shared" si="190"/>
        <v>0.83331716623015484</v>
      </c>
      <c r="BB67" s="55">
        <f t="shared" si="190"/>
        <v>0.8251602464372394</v>
      </c>
      <c r="BC67" s="55">
        <f t="shared" si="190"/>
        <v>0.82809726659566918</v>
      </c>
      <c r="BD67" s="55">
        <f t="shared" si="190"/>
        <v>0.83211767198329345</v>
      </c>
      <c r="BE67" s="55">
        <f t="shared" si="190"/>
        <v>0.82990848352141933</v>
      </c>
      <c r="BF67" s="55">
        <f t="shared" si="190"/>
        <v>0.83718988860772703</v>
      </c>
      <c r="BG67" s="55">
        <f t="shared" si="190"/>
        <v>0.83543099141110133</v>
      </c>
      <c r="BH67" s="55">
        <f t="shared" si="190"/>
        <v>0.85292620865139945</v>
      </c>
      <c r="BI67" s="55">
        <f t="shared" si="190"/>
        <v>0.8419874467804942</v>
      </c>
      <c r="BJ67" s="55">
        <f t="shared" si="190"/>
        <v>0.82820427513931627</v>
      </c>
      <c r="BK67" s="55">
        <f t="shared" si="190"/>
        <v>0.84668428054790412</v>
      </c>
      <c r="BL67" s="55">
        <f t="shared" si="190"/>
        <v>0.85532228360957641</v>
      </c>
      <c r="BM67" s="55">
        <f t="shared" si="190"/>
        <v>0.83461885545963799</v>
      </c>
      <c r="BN67" s="55">
        <f t="shared" si="190"/>
        <v>0.84795712311920202</v>
      </c>
      <c r="BO67" s="55">
        <f t="shared" si="190"/>
        <v>0.8482608762184578</v>
      </c>
      <c r="BP67" s="55">
        <f t="shared" si="190"/>
        <v>0.84904496032912136</v>
      </c>
      <c r="BQ67" s="55">
        <f t="shared" si="190"/>
        <v>0.84142698882360367</v>
      </c>
      <c r="BR67" s="55">
        <f t="shared" si="190"/>
        <v>0.84799785254951388</v>
      </c>
      <c r="BS67" s="55">
        <f t="shared" si="190"/>
        <v>0.83492770883757861</v>
      </c>
      <c r="BT67" s="55">
        <f t="shared" si="190"/>
        <v>0.83285842538740773</v>
      </c>
      <c r="BU67" s="55">
        <f t="shared" si="190"/>
        <v>0.76120358514724706</v>
      </c>
      <c r="BV67" s="55">
        <f t="shared" si="190"/>
        <v>0</v>
      </c>
      <c r="BW67" s="55"/>
      <c r="BX67" s="55"/>
      <c r="BY67" s="55"/>
      <c r="BZ67" s="55"/>
      <c r="CA67" s="38"/>
      <c r="CB67" s="38"/>
      <c r="CC67" s="38"/>
      <c r="CD67" s="38"/>
      <c r="CE67" s="38"/>
      <c r="CF67" s="38"/>
      <c r="CG67" s="38"/>
      <c r="CH67" s="38"/>
      <c r="CI67" s="38"/>
      <c r="CJ67" s="38"/>
      <c r="CK67" s="38"/>
      <c r="CL67" s="38"/>
      <c r="CM67" s="55">
        <f t="shared" ref="CM67:DB67" si="191">CM46/CM44</f>
        <v>0.79429297371249874</v>
      </c>
      <c r="CN67" s="55">
        <f t="shared" si="191"/>
        <v>0.80781887587205481</v>
      </c>
      <c r="CO67" s="55">
        <f t="shared" si="191"/>
        <v>0.81025231362855332</v>
      </c>
      <c r="CP67" s="55">
        <f t="shared" si="191"/>
        <v>0.82742931843231748</v>
      </c>
      <c r="CQ67" s="55">
        <f t="shared" si="191"/>
        <v>0</v>
      </c>
      <c r="CR67" s="55">
        <f t="shared" si="191"/>
        <v>0.83602459293290998</v>
      </c>
      <c r="CS67" s="55">
        <f t="shared" si="191"/>
        <v>0.85000972879816916</v>
      </c>
      <c r="CT67" s="55">
        <f t="shared" si="191"/>
        <v>0.84627840400787258</v>
      </c>
      <c r="CU67" s="55">
        <f t="shared" si="191"/>
        <v>0.84214295946139517</v>
      </c>
      <c r="CV67" s="55">
        <f t="shared" si="191"/>
        <v>0.84246765208215968</v>
      </c>
      <c r="CW67" s="55">
        <f t="shared" si="191"/>
        <v>0.8353725997983954</v>
      </c>
      <c r="CX67" s="55">
        <f t="shared" si="191"/>
        <v>0.83511099207537065</v>
      </c>
      <c r="CY67" s="55">
        <f t="shared" si="191"/>
        <v>0.83197443181818187</v>
      </c>
      <c r="CZ67" s="55">
        <f t="shared" si="191"/>
        <v>0.83923505543813648</v>
      </c>
      <c r="DA67" s="55">
        <f t="shared" si="191"/>
        <v>0.84601375177063731</v>
      </c>
      <c r="DB67" s="55">
        <f t="shared" si="191"/>
        <v>0.84668891161592685</v>
      </c>
      <c r="DC67" s="55"/>
      <c r="DD67" s="55"/>
      <c r="DE67" s="55"/>
      <c r="DF67" s="55"/>
      <c r="DG67" s="55"/>
      <c r="DH67" s="55"/>
      <c r="DI67" s="39"/>
      <c r="DJ67" s="39"/>
      <c r="DK67" s="39"/>
      <c r="DL67" s="39"/>
      <c r="DM67" s="39"/>
      <c r="DN67" s="39"/>
      <c r="DO67" s="39"/>
      <c r="DP67" s="39"/>
      <c r="DQ67" s="39"/>
      <c r="DR67" s="39"/>
      <c r="DS67" s="39"/>
      <c r="DT67" s="39"/>
      <c r="DU67" s="39"/>
      <c r="DV67" s="39"/>
      <c r="DW67" s="39"/>
      <c r="DX67" s="39"/>
      <c r="DY67" s="39"/>
      <c r="DZ67" s="39"/>
      <c r="EA67" s="39"/>
      <c r="EB67" s="39"/>
      <c r="EC67" s="39"/>
      <c r="ED67" s="39"/>
      <c r="EE67" s="39"/>
      <c r="EF67" s="39"/>
      <c r="EG67" s="39"/>
      <c r="EH67" s="39"/>
      <c r="EI67" s="39"/>
      <c r="EJ67" s="39"/>
      <c r="EK67" s="39"/>
      <c r="EL67" s="39"/>
      <c r="EM67" s="39"/>
      <c r="EN67" s="39"/>
      <c r="EO67" s="39"/>
      <c r="EP67" s="39"/>
      <c r="EQ67" s="39"/>
      <c r="ER67" s="39"/>
      <c r="ES67" s="39"/>
    </row>
    <row r="68" spans="1:149" ht="13" customHeight="1">
      <c r="B68" s="36" t="s">
        <v>196</v>
      </c>
      <c r="C68" s="55"/>
      <c r="D68" s="55"/>
      <c r="E68" s="55"/>
      <c r="F68" s="55"/>
      <c r="G68" s="55"/>
      <c r="H68" s="55"/>
      <c r="I68" s="55"/>
      <c r="J68" s="55"/>
      <c r="K68" s="55"/>
      <c r="L68" s="55"/>
      <c r="M68" s="55"/>
      <c r="N68" s="55"/>
      <c r="O68" s="55"/>
      <c r="P68" s="55"/>
      <c r="Q68" s="55"/>
      <c r="R68" s="55"/>
      <c r="S68" s="55"/>
      <c r="T68" s="55"/>
      <c r="U68" s="55"/>
      <c r="V68" s="55"/>
      <c r="W68" s="55"/>
      <c r="X68" s="55"/>
      <c r="Y68" s="55"/>
      <c r="Z68" s="55"/>
      <c r="AA68" s="55"/>
      <c r="AB68" s="55"/>
      <c r="AC68" s="55"/>
      <c r="AD68" s="55"/>
      <c r="AE68" s="55"/>
      <c r="AF68" s="55"/>
      <c r="AG68" s="55"/>
      <c r="AH68" s="55"/>
      <c r="AI68" s="55"/>
      <c r="AJ68" s="55"/>
      <c r="AK68" s="55"/>
      <c r="AL68" s="55"/>
      <c r="AM68" s="55"/>
      <c r="AN68" s="55"/>
      <c r="AO68" s="55"/>
      <c r="AP68" s="55"/>
      <c r="AQ68" s="55">
        <f t="shared" ref="AQ68:AT68" si="192">+AQ47/AQ44</f>
        <v>0.23954697363535091</v>
      </c>
      <c r="AR68" s="55">
        <f t="shared" si="192"/>
        <v>0.25869303462619037</v>
      </c>
      <c r="AS68" s="55">
        <f t="shared" si="192"/>
        <v>0.25675383617894965</v>
      </c>
      <c r="AT68" s="55">
        <f t="shared" si="192"/>
        <v>0.29355576483250367</v>
      </c>
      <c r="AU68" s="55">
        <f t="shared" ref="AU68:AW68" si="193">+AU47/AU44</f>
        <v>0.23713768734423543</v>
      </c>
      <c r="AV68" s="55">
        <f t="shared" si="193"/>
        <v>0.252363830070582</v>
      </c>
      <c r="AW68" s="55">
        <f t="shared" si="193"/>
        <v>0.25633319021039075</v>
      </c>
      <c r="AX68" s="55">
        <f t="shared" ref="AX68:BS68" si="194">+AX47/AX44</f>
        <v>0.29416664095999012</v>
      </c>
      <c r="AY68" s="55">
        <f t="shared" si="194"/>
        <v>0.22405904059040591</v>
      </c>
      <c r="AZ68" s="55">
        <f t="shared" si="194"/>
        <v>0.24655068986202761</v>
      </c>
      <c r="BA68" s="55">
        <f t="shared" si="194"/>
        <v>0.26429980276134124</v>
      </c>
      <c r="BB68" s="55">
        <f t="shared" si="194"/>
        <v>0.30387703030680191</v>
      </c>
      <c r="BC68" s="55">
        <f t="shared" si="194"/>
        <v>0.24423145189918352</v>
      </c>
      <c r="BD68" s="55">
        <f t="shared" si="194"/>
        <v>0.24215368784237765</v>
      </c>
      <c r="BE68" s="55">
        <f t="shared" si="194"/>
        <v>0.25599348717084947</v>
      </c>
      <c r="BF68" s="55">
        <f t="shared" si="194"/>
        <v>0.30344611692275586</v>
      </c>
      <c r="BG68" s="55">
        <f t="shared" si="194"/>
        <v>0.24227355999143491</v>
      </c>
      <c r="BH68" s="55">
        <f t="shared" si="194"/>
        <v>0.26269235429540772</v>
      </c>
      <c r="BI68" s="55">
        <f t="shared" si="194"/>
        <v>0.25130579818285564</v>
      </c>
      <c r="BJ68" s="55">
        <f t="shared" si="194"/>
        <v>0.28576478416368628</v>
      </c>
      <c r="BK68" s="55">
        <f t="shared" si="194"/>
        <v>0.23257818502070568</v>
      </c>
      <c r="BL68" s="55">
        <f t="shared" si="194"/>
        <v>0.26412523020257828</v>
      </c>
      <c r="BM68" s="55">
        <f t="shared" si="194"/>
        <v>0.21826633294171732</v>
      </c>
      <c r="BN68" s="55">
        <f t="shared" si="194"/>
        <v>0.26069264989447793</v>
      </c>
      <c r="BO68" s="55">
        <f t="shared" si="194"/>
        <v>0.2028493167454743</v>
      </c>
      <c r="BP68" s="55">
        <f t="shared" si="194"/>
        <v>0.21942403761387011</v>
      </c>
      <c r="BQ68" s="55">
        <f t="shared" si="194"/>
        <v>0.21329107711292788</v>
      </c>
      <c r="BR68" s="55">
        <f t="shared" si="194"/>
        <v>0.21825799750242172</v>
      </c>
      <c r="BS68" s="55">
        <f t="shared" si="194"/>
        <v>0.19071036151984325</v>
      </c>
      <c r="BT68" s="55">
        <f t="shared" ref="BT68:BU68" si="195">+BT47/BT44</f>
        <v>0.22812495934007312</v>
      </c>
      <c r="BU68" s="55">
        <f t="shared" si="195"/>
        <v>0.213348271446863</v>
      </c>
      <c r="BV68" s="55"/>
      <c r="BW68" s="55"/>
      <c r="BX68" s="55"/>
      <c r="BY68" s="55"/>
      <c r="BZ68" s="55"/>
      <c r="CA68" s="38"/>
      <c r="CB68" s="38"/>
      <c r="CC68" s="38"/>
      <c r="CD68" s="38"/>
      <c r="CE68" s="38"/>
      <c r="CF68" s="38"/>
      <c r="CG68" s="38"/>
      <c r="CH68" s="38"/>
      <c r="CI68" s="38"/>
      <c r="CJ68" s="38"/>
      <c r="CK68" s="38"/>
      <c r="CL68" s="38"/>
      <c r="CM68" s="55"/>
      <c r="CN68" s="55"/>
      <c r="CO68" s="55"/>
      <c r="CP68" s="55"/>
      <c r="CQ68" s="55"/>
      <c r="CR68" s="55"/>
      <c r="CS68" s="55"/>
      <c r="CT68" s="39"/>
      <c r="CU68" s="39"/>
      <c r="CV68" s="39"/>
      <c r="CW68" s="39"/>
      <c r="CX68" s="39"/>
      <c r="CY68" s="49">
        <f>+CY47/CY44</f>
        <v>0.26284090909090907</v>
      </c>
      <c r="CZ68" s="49">
        <f t="shared" ref="CZ68:DB68" si="196">+CZ47/CZ44</f>
        <v>0.26118087186500444</v>
      </c>
      <c r="DA68" s="49">
        <f t="shared" si="196"/>
        <v>0.24430705111921502</v>
      </c>
      <c r="DB68" s="49">
        <f t="shared" si="196"/>
        <v>0.21384420959838568</v>
      </c>
      <c r="DC68" s="39"/>
      <c r="DD68" s="39"/>
      <c r="DE68" s="39"/>
      <c r="DF68" s="39"/>
      <c r="DG68" s="39"/>
      <c r="DH68" s="39"/>
      <c r="DI68" s="39"/>
      <c r="DJ68" s="39"/>
      <c r="DK68" s="39"/>
      <c r="DL68" s="39"/>
      <c r="DM68" s="39"/>
      <c r="DN68" s="39"/>
      <c r="DO68" s="39"/>
      <c r="DP68" s="39"/>
      <c r="DQ68" s="39"/>
      <c r="DR68" s="39"/>
      <c r="DS68" s="39"/>
      <c r="DT68" s="39"/>
      <c r="DU68" s="39"/>
      <c r="DV68" s="39"/>
      <c r="DW68" s="39"/>
      <c r="DX68" s="39"/>
      <c r="DY68" s="39"/>
      <c r="DZ68" s="39"/>
      <c r="EA68" s="39"/>
      <c r="EB68" s="39"/>
      <c r="EC68" s="39"/>
      <c r="ED68" s="39"/>
      <c r="EE68" s="39"/>
      <c r="EF68" s="39"/>
      <c r="EG68" s="39"/>
      <c r="EH68" s="39"/>
      <c r="EI68" s="39"/>
      <c r="EJ68" s="39"/>
      <c r="EK68" s="39"/>
      <c r="EL68" s="39"/>
      <c r="EM68" s="39"/>
      <c r="EN68" s="39"/>
      <c r="EO68" s="39"/>
      <c r="EP68" s="39"/>
      <c r="EQ68" s="39"/>
      <c r="ER68" s="39"/>
      <c r="ES68" s="39"/>
    </row>
    <row r="69" spans="1:149" ht="13" customHeight="1">
      <c r="B69" s="36" t="s">
        <v>197</v>
      </c>
      <c r="C69" s="55"/>
      <c r="D69" s="55"/>
      <c r="E69" s="55"/>
      <c r="F69" s="55"/>
      <c r="G69" s="55"/>
      <c r="H69" s="55"/>
      <c r="I69" s="55"/>
      <c r="J69" s="55"/>
      <c r="K69" s="55"/>
      <c r="L69" s="55"/>
      <c r="M69" s="55"/>
      <c r="N69" s="55"/>
      <c r="O69" s="55"/>
      <c r="P69" s="55"/>
      <c r="Q69" s="55"/>
      <c r="R69" s="55"/>
      <c r="S69" s="55"/>
      <c r="T69" s="55"/>
      <c r="U69" s="55"/>
      <c r="V69" s="55"/>
      <c r="W69" s="55"/>
      <c r="X69" s="55"/>
      <c r="Y69" s="55"/>
      <c r="Z69" s="55"/>
      <c r="AA69" s="55"/>
      <c r="AB69" s="55"/>
      <c r="AC69" s="55"/>
      <c r="AD69" s="55"/>
      <c r="AE69" s="55"/>
      <c r="AF69" s="55"/>
      <c r="AG69" s="55"/>
      <c r="AH69" s="55"/>
      <c r="AI69" s="55"/>
      <c r="AJ69" s="55"/>
      <c r="AK69" s="55"/>
      <c r="AL69" s="55"/>
      <c r="AM69" s="55"/>
      <c r="AN69" s="55"/>
      <c r="AO69" s="55"/>
      <c r="AP69" s="55"/>
      <c r="AQ69" s="55">
        <f t="shared" ref="AQ69:AT69" si="197">+AQ48/AQ44</f>
        <v>0.12331971778685481</v>
      </c>
      <c r="AR69" s="55">
        <f t="shared" si="197"/>
        <v>0.12026124712664647</v>
      </c>
      <c r="AS69" s="55">
        <f t="shared" si="197"/>
        <v>0.13125855485915999</v>
      </c>
      <c r="AT69" s="55">
        <f t="shared" si="197"/>
        <v>0.15283196555899367</v>
      </c>
      <c r="AU69" s="55">
        <f t="shared" ref="AU69:AW69" si="198">+AU48/AU44</f>
        <v>9.1427400908128773E-2</v>
      </c>
      <c r="AV69" s="55">
        <f t="shared" si="198"/>
        <v>0.11842455719802904</v>
      </c>
      <c r="AW69" s="55">
        <f t="shared" si="198"/>
        <v>0.11893516530699871</v>
      </c>
      <c r="AX69" s="55">
        <f t="shared" ref="AX69:BS69" si="199">+AX48/AX44</f>
        <v>0.13523768393127064</v>
      </c>
      <c r="AY69" s="55">
        <f t="shared" si="199"/>
        <v>0.11149815498154982</v>
      </c>
      <c r="AZ69" s="55">
        <f t="shared" si="199"/>
        <v>0.10967806438712258</v>
      </c>
      <c r="BA69" s="55">
        <f t="shared" si="199"/>
        <v>0.12645908106185533</v>
      </c>
      <c r="BB69" s="55">
        <f t="shared" si="199"/>
        <v>0.13949218993092288</v>
      </c>
      <c r="BC69" s="55">
        <f t="shared" si="199"/>
        <v>0.11667258312625725</v>
      </c>
      <c r="BD69" s="55">
        <f t="shared" si="199"/>
        <v>0.11936684725038589</v>
      </c>
      <c r="BE69" s="55">
        <f t="shared" si="199"/>
        <v>0.11936443770703498</v>
      </c>
      <c r="BF69" s="55">
        <f t="shared" si="199"/>
        <v>0.14692301672188454</v>
      </c>
      <c r="BG69" s="55">
        <f t="shared" si="199"/>
        <v>0.12386095976779044</v>
      </c>
      <c r="BH69" s="55">
        <f t="shared" si="199"/>
        <v>0.124148794377802</v>
      </c>
      <c r="BI69" s="55">
        <f t="shared" si="199"/>
        <v>0.12362287670631611</v>
      </c>
      <c r="BJ69" s="55">
        <f t="shared" si="199"/>
        <v>0.16811527904849038</v>
      </c>
      <c r="BK69" s="55">
        <f t="shared" si="199"/>
        <v>0.12607041804860683</v>
      </c>
      <c r="BL69" s="55">
        <f t="shared" si="199"/>
        <v>0.1312523020257827</v>
      </c>
      <c r="BM69" s="55">
        <f t="shared" si="199"/>
        <v>0.13839369327952869</v>
      </c>
      <c r="BN69" s="55">
        <f t="shared" si="199"/>
        <v>0.15881450890484794</v>
      </c>
      <c r="BO69" s="55">
        <f t="shared" si="199"/>
        <v>0.13169291037353287</v>
      </c>
      <c r="BP69" s="55">
        <f t="shared" si="199"/>
        <v>0.23752571260652366</v>
      </c>
      <c r="BQ69" s="55">
        <f t="shared" si="199"/>
        <v>0.13305100194920841</v>
      </c>
      <c r="BR69" s="55">
        <f t="shared" si="199"/>
        <v>0.16108212831016655</v>
      </c>
      <c r="BS69" s="55">
        <f t="shared" si="199"/>
        <v>0.13200660801413808</v>
      </c>
      <c r="BT69" s="55">
        <f t="shared" ref="BT69:BU69" si="200">+BT48/BT44</f>
        <v>0.15210065446218302</v>
      </c>
      <c r="BU69" s="55">
        <f t="shared" si="200"/>
        <v>0.20530569782330346</v>
      </c>
      <c r="BV69" s="55"/>
      <c r="BW69" s="55"/>
      <c r="BX69" s="55"/>
      <c r="BY69" s="55"/>
      <c r="BZ69" s="55"/>
      <c r="CA69" s="38"/>
      <c r="CB69" s="38"/>
      <c r="CC69" s="38"/>
      <c r="CD69" s="38"/>
      <c r="CE69" s="38"/>
      <c r="CF69" s="38"/>
      <c r="CG69" s="38"/>
      <c r="CH69" s="38"/>
      <c r="CI69" s="38"/>
      <c r="CJ69" s="38"/>
      <c r="CK69" s="38"/>
      <c r="CL69" s="38"/>
      <c r="CM69" s="55"/>
      <c r="CN69" s="55"/>
      <c r="CO69" s="55"/>
      <c r="CP69" s="55"/>
      <c r="CQ69" s="55"/>
      <c r="CR69" s="55"/>
      <c r="CS69" s="55"/>
      <c r="CT69" s="39"/>
      <c r="CU69" s="39"/>
      <c r="CV69" s="39"/>
      <c r="CW69" s="39"/>
      <c r="CX69" s="39"/>
      <c r="CY69" s="49">
        <f>+CY48/CY44</f>
        <v>0.12622159090909091</v>
      </c>
      <c r="CZ69" s="49">
        <f t="shared" ref="CZ69:DB69" si="201">+CZ48/CZ44</f>
        <v>0.13589407416616747</v>
      </c>
      <c r="DA69" s="49">
        <f t="shared" si="201"/>
        <v>0.13968337344625228</v>
      </c>
      <c r="DB69" s="49">
        <f t="shared" si="201"/>
        <v>0.16550104509939637</v>
      </c>
      <c r="DC69" s="39"/>
      <c r="DD69" s="39"/>
      <c r="DE69" s="39"/>
      <c r="DF69" s="39"/>
      <c r="DG69" s="39"/>
      <c r="DH69" s="39"/>
      <c r="DI69" s="39"/>
      <c r="DJ69" s="39"/>
      <c r="DK69" s="39"/>
      <c r="DL69" s="39"/>
      <c r="DM69" s="39"/>
      <c r="DN69" s="39"/>
      <c r="DO69" s="39"/>
      <c r="DP69" s="39"/>
      <c r="DQ69" s="39"/>
      <c r="DR69" s="39"/>
      <c r="DS69" s="39"/>
      <c r="DT69" s="39"/>
      <c r="DU69" s="39"/>
      <c r="DV69" s="39"/>
      <c r="DW69" s="39"/>
      <c r="DX69" s="39"/>
      <c r="DY69" s="39"/>
      <c r="DZ69" s="39"/>
      <c r="EA69" s="39"/>
      <c r="EB69" s="39"/>
      <c r="EC69" s="39"/>
      <c r="ED69" s="39"/>
      <c r="EE69" s="39"/>
      <c r="EF69" s="39"/>
      <c r="EG69" s="39"/>
      <c r="EH69" s="39"/>
      <c r="EI69" s="39"/>
      <c r="EJ69" s="39"/>
      <c r="EK69" s="39"/>
      <c r="EL69" s="39"/>
      <c r="EM69" s="39"/>
      <c r="EN69" s="39"/>
      <c r="EO69" s="39"/>
      <c r="EP69" s="39"/>
      <c r="EQ69" s="39"/>
      <c r="ER69" s="39"/>
      <c r="ES69" s="39"/>
    </row>
    <row r="70" spans="1:149" ht="13" customHeight="1">
      <c r="B70" s="36" t="s">
        <v>148</v>
      </c>
      <c r="C70" s="55">
        <f t="shared" ref="C70:N70" si="202">C57/C56</f>
        <v>0.42991631799163182</v>
      </c>
      <c r="D70" s="55">
        <f t="shared" si="202"/>
        <v>0.27451556077510275</v>
      </c>
      <c r="E70" s="55">
        <f t="shared" si="202"/>
        <v>0.25752508361204013</v>
      </c>
      <c r="F70" s="55">
        <f t="shared" si="202"/>
        <v>0.24104234527687296</v>
      </c>
      <c r="G70" s="55">
        <f t="shared" si="202"/>
        <v>0.22995720399429387</v>
      </c>
      <c r="H70" s="55">
        <f t="shared" si="202"/>
        <v>0.22991761071060762</v>
      </c>
      <c r="I70" s="55">
        <f t="shared" si="202"/>
        <v>0.23620737454948712</v>
      </c>
      <c r="J70" s="55">
        <f t="shared" si="202"/>
        <v>0.22359625668449198</v>
      </c>
      <c r="K70" s="55">
        <f t="shared" si="202"/>
        <v>0.23002084781097984</v>
      </c>
      <c r="L70" s="55">
        <f t="shared" si="202"/>
        <v>0.23003472222222221</v>
      </c>
      <c r="M70" s="55">
        <f t="shared" si="202"/>
        <v>0.23002577319587628</v>
      </c>
      <c r="N70" s="55">
        <f t="shared" si="202"/>
        <v>0.25</v>
      </c>
      <c r="O70" s="55"/>
      <c r="P70" s="55"/>
      <c r="Q70" s="55"/>
      <c r="R70" s="55"/>
      <c r="S70" s="55"/>
      <c r="T70" s="55"/>
      <c r="U70" s="55"/>
      <c r="V70" s="55"/>
      <c r="W70" s="55"/>
      <c r="X70" s="55"/>
      <c r="Y70" s="55"/>
      <c r="Z70" s="55"/>
      <c r="AA70" s="55"/>
      <c r="AB70" s="55"/>
      <c r="AC70" s="55"/>
      <c r="AD70" s="55"/>
      <c r="AE70" s="55"/>
      <c r="AF70" s="55"/>
      <c r="AG70" s="55"/>
      <c r="AH70" s="55"/>
      <c r="AI70" s="55"/>
      <c r="AJ70" s="55"/>
      <c r="AK70" s="55"/>
      <c r="AL70" s="55"/>
      <c r="AM70" s="55"/>
      <c r="AN70" s="55"/>
      <c r="AO70" s="55"/>
      <c r="AP70" s="55"/>
      <c r="AQ70" s="55">
        <f t="shared" ref="AQ70:AT70" si="203">+AQ57/AQ56</f>
        <v>0.21000808288632522</v>
      </c>
      <c r="AR70" s="55">
        <f t="shared" si="203"/>
        <v>0.17242758841414627</v>
      </c>
      <c r="AS70" s="55">
        <f t="shared" si="203"/>
        <v>0.18863350691326988</v>
      </c>
      <c r="AT70" s="55">
        <f t="shared" si="203"/>
        <v>0.18061716489874638</v>
      </c>
      <c r="AU70" s="55">
        <f t="shared" ref="AU70:AW70" si="204">+AU57/AU56</f>
        <v>0.21002873997882318</v>
      </c>
      <c r="AV70" s="55">
        <f t="shared" si="204"/>
        <v>0.20996294771510909</v>
      </c>
      <c r="AW70" s="55">
        <f t="shared" si="204"/>
        <v>0.15800776410341125</v>
      </c>
      <c r="AX70" s="55">
        <f t="shared" ref="AX70:BS70" si="205">+AX57/AX56</f>
        <v>0.21319613683545446</v>
      </c>
      <c r="AY70" s="55">
        <f t="shared" si="205"/>
        <v>0.20797550096531522</v>
      </c>
      <c r="AZ70" s="55">
        <f t="shared" si="205"/>
        <v>0.20803518187239117</v>
      </c>
      <c r="BA70" s="55">
        <f t="shared" si="205"/>
        <v>0.18855882121188244</v>
      </c>
      <c r="BB70" s="55">
        <f t="shared" si="205"/>
        <v>0.22362939510081653</v>
      </c>
      <c r="BC70" s="55">
        <f t="shared" si="205"/>
        <v>0.20799347471451876</v>
      </c>
      <c r="BD70" s="55">
        <f t="shared" si="205"/>
        <v>0.18730307702621171</v>
      </c>
      <c r="BE70" s="55">
        <f t="shared" si="205"/>
        <v>0.19805452620434091</v>
      </c>
      <c r="BF70" s="55">
        <f t="shared" si="205"/>
        <v>0.16937390375962785</v>
      </c>
      <c r="BG70" s="55">
        <f t="shared" si="205"/>
        <v>0.20698699704224566</v>
      </c>
      <c r="BH70" s="55">
        <f t="shared" si="205"/>
        <v>0.20702590056564454</v>
      </c>
      <c r="BI70" s="55">
        <f t="shared" si="205"/>
        <v>0.20114241348713399</v>
      </c>
      <c r="BJ70" s="55">
        <f t="shared" si="205"/>
        <v>0.16695268448149056</v>
      </c>
      <c r="BK70" s="55">
        <f t="shared" si="205"/>
        <v>0.19901362331729797</v>
      </c>
      <c r="BL70" s="55">
        <f t="shared" si="205"/>
        <v>0.19897748824936093</v>
      </c>
      <c r="BM70" s="55">
        <f t="shared" si="205"/>
        <v>0.19901649859245268</v>
      </c>
      <c r="BN70" s="55">
        <f t="shared" si="205"/>
        <v>0.20481535119478639</v>
      </c>
      <c r="BO70" s="55">
        <f t="shared" si="205"/>
        <v>0.20399147816279214</v>
      </c>
      <c r="BP70" s="55">
        <f t="shared" si="205"/>
        <v>0.20851097426180326</v>
      </c>
      <c r="BQ70" s="55">
        <f t="shared" si="205"/>
        <v>0.20599697533736622</v>
      </c>
      <c r="BR70" s="55">
        <f t="shared" si="205"/>
        <v>0.20606350367016341</v>
      </c>
      <c r="BS70" s="55">
        <f t="shared" si="205"/>
        <v>0.21599654362325493</v>
      </c>
      <c r="BT70" s="55">
        <f t="shared" ref="BT70:BU70" si="206">+BT57/BT56</f>
        <v>0.21600354977074399</v>
      </c>
      <c r="BU70" s="55">
        <f t="shared" si="206"/>
        <v>0.21597366461574635</v>
      </c>
      <c r="BV70" s="55"/>
      <c r="BW70" s="55"/>
      <c r="BX70" s="55"/>
      <c r="BY70" s="55"/>
      <c r="BZ70" s="55"/>
      <c r="CA70" s="38"/>
      <c r="CB70" s="38"/>
      <c r="CC70" s="38"/>
      <c r="CD70" s="38"/>
      <c r="CE70" s="38"/>
      <c r="CF70" s="38"/>
      <c r="CG70" s="38"/>
      <c r="CH70" s="38"/>
      <c r="CI70" s="38"/>
      <c r="CJ70" s="38"/>
      <c r="CK70" s="38"/>
      <c r="CL70" s="38"/>
      <c r="CM70" s="38"/>
      <c r="CN70" s="38"/>
      <c r="CO70" s="38"/>
      <c r="CP70" s="38"/>
      <c r="CQ70" s="38"/>
      <c r="CR70" s="38"/>
      <c r="CS70" s="38"/>
      <c r="CT70" s="39"/>
      <c r="CU70" s="39"/>
      <c r="CV70" s="39"/>
      <c r="CW70" s="49">
        <f t="shared" ref="CW70:CZ70" si="207">+CW57/CW56</f>
        <v>0.19776326900500485</v>
      </c>
      <c r="CX70" s="49">
        <f t="shared" si="207"/>
        <v>0.20688876341050255</v>
      </c>
      <c r="CY70" s="49">
        <f t="shared" si="207"/>
        <v>0.19165538253215977</v>
      </c>
      <c r="CZ70" s="49">
        <f t="shared" si="207"/>
        <v>0.19601227882192812</v>
      </c>
      <c r="DA70" s="49">
        <f>+DA57/DA56</f>
        <v>0.20053690505760743</v>
      </c>
      <c r="DB70" s="49">
        <f>+DB57/DB56</f>
        <v>0.20236008247932225</v>
      </c>
      <c r="DC70" s="39"/>
      <c r="DD70" s="39"/>
      <c r="DE70" s="39"/>
      <c r="DF70" s="39"/>
      <c r="DG70" s="39"/>
      <c r="DH70" s="39"/>
      <c r="DI70" s="39"/>
      <c r="DJ70" s="39"/>
      <c r="DK70" s="39"/>
      <c r="DL70" s="39"/>
      <c r="DM70" s="39"/>
      <c r="DN70" s="39"/>
      <c r="DO70" s="39"/>
      <c r="DP70" s="39"/>
      <c r="DQ70" s="39"/>
      <c r="DR70" s="39"/>
      <c r="DS70" s="39"/>
      <c r="DT70" s="39"/>
      <c r="DU70" s="39"/>
      <c r="DV70" s="39"/>
      <c r="DW70" s="39"/>
      <c r="DX70" s="39"/>
      <c r="DY70" s="39"/>
      <c r="DZ70" s="39"/>
      <c r="EA70" s="39"/>
      <c r="EB70" s="39"/>
      <c r="EC70" s="39"/>
      <c r="ED70" s="39"/>
      <c r="EE70" s="39"/>
      <c r="EF70" s="39"/>
      <c r="EG70" s="39"/>
      <c r="EH70" s="39"/>
      <c r="EI70" s="39"/>
      <c r="EJ70" s="39"/>
      <c r="EK70" s="39"/>
      <c r="EL70" s="39"/>
      <c r="EM70" s="39"/>
      <c r="EN70" s="39"/>
      <c r="EO70" s="39"/>
      <c r="EP70" s="39"/>
      <c r="EQ70" s="39"/>
      <c r="ER70" s="39"/>
      <c r="ES70" s="39"/>
    </row>
    <row r="72" spans="1:149" s="17" customFormat="1" ht="13" customHeight="1">
      <c r="A72" s="75"/>
      <c r="B72" s="45" t="s">
        <v>149</v>
      </c>
      <c r="C72" s="56"/>
      <c r="D72" s="56"/>
      <c r="E72" s="56"/>
      <c r="F72" s="56"/>
      <c r="G72" s="56"/>
      <c r="H72" s="56"/>
      <c r="I72" s="56"/>
      <c r="J72" s="56"/>
      <c r="K72" s="56">
        <v>5221</v>
      </c>
      <c r="L72" s="56"/>
      <c r="M72" s="56"/>
      <c r="N72" s="56"/>
      <c r="O72" s="56"/>
      <c r="P72" s="56"/>
      <c r="Q72" s="56"/>
      <c r="R72" s="56"/>
      <c r="S72" s="56"/>
      <c r="T72" s="56"/>
      <c r="U72" s="56"/>
      <c r="V72" s="56"/>
      <c r="W72" s="56"/>
      <c r="X72" s="56"/>
      <c r="Y72" s="56"/>
      <c r="Z72" s="56"/>
      <c r="AA72" s="56"/>
      <c r="AB72" s="56"/>
      <c r="AC72" s="56"/>
      <c r="AD72" s="56"/>
      <c r="AE72" s="56"/>
      <c r="AF72" s="56"/>
      <c r="AG72" s="56"/>
      <c r="AH72" s="56"/>
      <c r="AI72" s="56"/>
      <c r="AJ72" s="56"/>
      <c r="AK72" s="56"/>
      <c r="AL72" s="56"/>
      <c r="AM72" s="56"/>
      <c r="AN72" s="56"/>
      <c r="AO72" s="56"/>
      <c r="AP72" s="56"/>
      <c r="AQ72" s="56">
        <v>13366</v>
      </c>
      <c r="AR72" s="56">
        <v>13589</v>
      </c>
      <c r="AS72" s="56">
        <v>14103</v>
      </c>
      <c r="AT72" s="56">
        <v>15850</v>
      </c>
      <c r="AU72" s="56">
        <v>13904</v>
      </c>
      <c r="AV72" s="56">
        <v>14471</v>
      </c>
      <c r="AW72" s="56">
        <v>15016</v>
      </c>
      <c r="AX72" s="56">
        <v>17066</v>
      </c>
      <c r="AY72" s="56">
        <v>15579</v>
      </c>
      <c r="AZ72" s="56">
        <v>13891</v>
      </c>
      <c r="BA72" s="56">
        <v>14939</v>
      </c>
      <c r="BB72" s="56">
        <v>16708</v>
      </c>
      <c r="BC72" s="56">
        <v>15057</v>
      </c>
      <c r="BD72" s="56">
        <v>14804</v>
      </c>
      <c r="BE72" s="56">
        <v>17285</v>
      </c>
      <c r="BF72" s="56">
        <v>20117</v>
      </c>
      <c r="BG72" s="56">
        <v>19990</v>
      </c>
      <c r="BH72" s="56">
        <v>20703</v>
      </c>
      <c r="BI72" s="56">
        <v>23754</v>
      </c>
      <c r="BJ72" s="56">
        <v>26660</v>
      </c>
      <c r="BK72" s="56">
        <v>29297</v>
      </c>
      <c r="BL72" s="56">
        <v>29663</v>
      </c>
      <c r="BM72" s="56">
        <v>35048</v>
      </c>
      <c r="BN72" s="56">
        <v>42621</v>
      </c>
      <c r="BO72" s="56">
        <v>39280</v>
      </c>
      <c r="BP72" s="56">
        <v>40930</v>
      </c>
      <c r="BQ72" s="56">
        <v>42598</v>
      </c>
      <c r="BR72" s="56"/>
      <c r="BS72" s="56"/>
      <c r="BT72" s="56"/>
      <c r="BU72" s="56"/>
      <c r="BV72" s="56"/>
      <c r="BW72" s="56"/>
      <c r="BX72" s="56"/>
      <c r="BY72" s="56"/>
      <c r="BZ72" s="56"/>
      <c r="CA72" s="56"/>
      <c r="CB72" s="56"/>
      <c r="CC72" s="56"/>
      <c r="CD72" s="56"/>
      <c r="CE72" s="56"/>
      <c r="CF72" s="56"/>
      <c r="CG72" s="56"/>
      <c r="CH72" s="56"/>
      <c r="CI72" s="56"/>
      <c r="CJ72" s="56"/>
      <c r="CK72" s="56"/>
      <c r="CL72" s="56"/>
      <c r="CM72" s="56"/>
      <c r="CN72" s="56"/>
      <c r="CO72" s="56"/>
      <c r="CP72" s="56"/>
      <c r="CQ72" s="56"/>
      <c r="CR72" s="56"/>
      <c r="CS72" s="56"/>
      <c r="CT72" s="45"/>
      <c r="CU72" s="45"/>
      <c r="CV72" s="45"/>
      <c r="CW72" s="45"/>
      <c r="CX72" s="45"/>
      <c r="CY72" s="45"/>
      <c r="CZ72" s="45"/>
      <c r="DA72" s="45"/>
      <c r="DB72" s="45"/>
      <c r="DC72" s="45"/>
      <c r="DD72" s="45"/>
      <c r="DE72" s="45"/>
      <c r="DF72" s="45"/>
      <c r="DG72" s="45"/>
      <c r="DH72" s="45"/>
      <c r="DI72" s="45"/>
      <c r="DJ72" s="45"/>
      <c r="DK72" s="45"/>
      <c r="DL72" s="45"/>
      <c r="DM72" s="45"/>
      <c r="DN72" s="45"/>
      <c r="DO72" s="45"/>
      <c r="DP72" s="45"/>
      <c r="DQ72" s="45"/>
      <c r="DR72" s="45"/>
      <c r="DS72" s="45"/>
      <c r="DT72" s="45"/>
      <c r="DU72" s="45"/>
      <c r="DV72" s="45"/>
      <c r="DW72" s="45"/>
      <c r="DX72" s="45"/>
      <c r="DY72" s="45"/>
      <c r="DZ72" s="45"/>
      <c r="EA72" s="45"/>
      <c r="EB72" s="45"/>
      <c r="EC72" s="45"/>
      <c r="ED72" s="45"/>
      <c r="EE72" s="45"/>
      <c r="EF72" s="45"/>
      <c r="EG72" s="45"/>
      <c r="EH72" s="45"/>
      <c r="EI72" s="45"/>
      <c r="EJ72" s="45"/>
      <c r="EK72" s="45"/>
      <c r="EL72" s="45"/>
      <c r="EM72" s="45"/>
      <c r="EN72" s="45"/>
      <c r="EO72" s="45"/>
      <c r="EP72" s="45"/>
      <c r="EQ72" s="45"/>
      <c r="ER72" s="45"/>
      <c r="ES72" s="45"/>
    </row>
    <row r="73" spans="1:149" s="17" customFormat="1" ht="13" customHeight="1">
      <c r="A73" s="75"/>
      <c r="B73" s="45" t="s">
        <v>150</v>
      </c>
      <c r="C73" s="56"/>
      <c r="D73" s="56"/>
      <c r="E73" s="56"/>
      <c r="F73" s="56"/>
      <c r="G73" s="56"/>
      <c r="H73" s="56"/>
      <c r="I73" s="56"/>
      <c r="J73" s="56"/>
      <c r="K73" s="56">
        <v>4432</v>
      </c>
      <c r="L73" s="56"/>
      <c r="M73" s="56"/>
      <c r="N73" s="56"/>
      <c r="O73" s="56"/>
      <c r="P73" s="56"/>
      <c r="Q73" s="56"/>
      <c r="R73" s="56"/>
      <c r="S73" s="56"/>
      <c r="T73" s="56"/>
      <c r="U73" s="56"/>
      <c r="V73" s="56"/>
      <c r="W73" s="56"/>
      <c r="X73" s="56"/>
      <c r="Y73" s="56"/>
      <c r="Z73" s="56"/>
      <c r="AA73" s="56"/>
      <c r="AB73" s="56"/>
      <c r="AC73" s="56"/>
      <c r="AD73" s="56"/>
      <c r="AE73" s="56"/>
      <c r="AF73" s="56"/>
      <c r="AG73" s="56"/>
      <c r="AH73" s="56"/>
      <c r="AI73" s="56"/>
      <c r="AJ73" s="56"/>
      <c r="AK73" s="56"/>
      <c r="AL73" s="56"/>
      <c r="AM73" s="56"/>
      <c r="AN73" s="56"/>
      <c r="AO73" s="56"/>
      <c r="AP73" s="56"/>
      <c r="AQ73" s="56">
        <f>5233+2899</f>
        <v>8132</v>
      </c>
      <c r="AR73" s="56">
        <f>5460+3194</f>
        <v>8654</v>
      </c>
      <c r="AS73" s="56">
        <f>5392+3067</f>
        <v>8459</v>
      </c>
      <c r="AT73" s="56">
        <f>5594+2993</f>
        <v>8587</v>
      </c>
      <c r="AU73" s="56">
        <f>5505+3738</f>
        <v>9243</v>
      </c>
      <c r="AV73" s="56">
        <f>5862+3547</f>
        <v>9409</v>
      </c>
      <c r="AW73" s="56">
        <f>5738+3525</f>
        <v>9263</v>
      </c>
      <c r="AX73" s="56">
        <f>6157+3279</f>
        <v>9436</v>
      </c>
      <c r="AY73" s="56">
        <v>9674</v>
      </c>
      <c r="AZ73" s="56">
        <v>8167</v>
      </c>
      <c r="BA73" s="56">
        <v>8318</v>
      </c>
      <c r="BB73" s="56">
        <v>8138</v>
      </c>
      <c r="BC73" s="56">
        <v>9530</v>
      </c>
      <c r="BD73" s="56">
        <v>9579</v>
      </c>
      <c r="BE73" s="56">
        <v>9170</v>
      </c>
      <c r="BF73" s="56">
        <v>9427</v>
      </c>
      <c r="BG73" s="56">
        <v>10824</v>
      </c>
      <c r="BH73" s="56">
        <v>10915</v>
      </c>
      <c r="BI73" s="56">
        <v>10983</v>
      </c>
      <c r="BJ73" s="56">
        <v>11514</v>
      </c>
      <c r="BK73" s="56">
        <v>12742</v>
      </c>
      <c r="BL73" s="56">
        <v>12856</v>
      </c>
      <c r="BM73" s="56">
        <v>12563</v>
      </c>
      <c r="BN73" s="56">
        <v>12706</v>
      </c>
      <c r="BO73" s="56">
        <v>14326</v>
      </c>
      <c r="BP73" s="56">
        <v>14581</v>
      </c>
      <c r="BQ73" s="56">
        <v>14736</v>
      </c>
      <c r="BR73" s="56"/>
      <c r="BS73" s="56"/>
      <c r="BT73" s="56"/>
      <c r="BU73" s="56"/>
      <c r="BV73" s="56"/>
      <c r="BW73" s="56"/>
      <c r="BX73" s="56"/>
      <c r="BY73" s="56"/>
      <c r="BZ73" s="56"/>
      <c r="CA73" s="56"/>
      <c r="CB73" s="56"/>
      <c r="CC73" s="56"/>
      <c r="CD73" s="56"/>
      <c r="CE73" s="56"/>
      <c r="CF73" s="56"/>
      <c r="CG73" s="56"/>
      <c r="CH73" s="56"/>
      <c r="CI73" s="56"/>
      <c r="CJ73" s="56"/>
      <c r="CK73" s="56"/>
      <c r="CL73" s="56"/>
      <c r="CM73" s="56"/>
      <c r="CN73" s="56"/>
      <c r="CO73" s="56"/>
      <c r="CP73" s="56"/>
      <c r="CQ73" s="56"/>
      <c r="CR73" s="56"/>
      <c r="CS73" s="56"/>
      <c r="CT73" s="45"/>
      <c r="CU73" s="45"/>
      <c r="CV73" s="45"/>
      <c r="CW73" s="45"/>
      <c r="CX73" s="45"/>
      <c r="CY73" s="45"/>
      <c r="CZ73" s="45"/>
      <c r="DA73" s="45"/>
      <c r="DB73" s="45"/>
      <c r="DC73" s="45"/>
      <c r="DD73" s="45"/>
      <c r="DE73" s="45"/>
      <c r="DF73" s="45"/>
      <c r="DG73" s="45"/>
      <c r="DH73" s="45"/>
      <c r="DI73" s="45"/>
      <c r="DJ73" s="45"/>
      <c r="DK73" s="45"/>
      <c r="DL73" s="45"/>
      <c r="DM73" s="45"/>
      <c r="DN73" s="45"/>
      <c r="DO73" s="45"/>
      <c r="DP73" s="45"/>
      <c r="DQ73" s="45"/>
      <c r="DR73" s="45"/>
      <c r="DS73" s="45"/>
      <c r="DT73" s="45"/>
      <c r="DU73" s="45"/>
      <c r="DV73" s="45"/>
      <c r="DW73" s="45"/>
      <c r="DX73" s="45"/>
      <c r="DY73" s="45"/>
      <c r="DZ73" s="45"/>
      <c r="EA73" s="45"/>
      <c r="EB73" s="45"/>
      <c r="EC73" s="45"/>
      <c r="ED73" s="45"/>
      <c r="EE73" s="45"/>
      <c r="EF73" s="45"/>
      <c r="EG73" s="45"/>
      <c r="EH73" s="45"/>
      <c r="EI73" s="45"/>
      <c r="EJ73" s="45"/>
      <c r="EK73" s="45"/>
      <c r="EL73" s="45"/>
      <c r="EM73" s="45"/>
      <c r="EN73" s="45"/>
      <c r="EO73" s="45"/>
      <c r="EP73" s="45"/>
      <c r="EQ73" s="45"/>
      <c r="ER73" s="45"/>
      <c r="ES73" s="45"/>
    </row>
    <row r="74" spans="1:149" s="17" customFormat="1" ht="13" customHeight="1">
      <c r="A74" s="75"/>
      <c r="B74" s="45" t="s">
        <v>151</v>
      </c>
      <c r="C74" s="56"/>
      <c r="D74" s="56"/>
      <c r="E74" s="56"/>
      <c r="F74" s="56"/>
      <c r="G74" s="56"/>
      <c r="H74" s="56"/>
      <c r="I74" s="56"/>
      <c r="J74" s="56"/>
      <c r="K74" s="56">
        <v>2865</v>
      </c>
      <c r="L74" s="56"/>
      <c r="M74" s="56"/>
      <c r="N74" s="56"/>
      <c r="O74" s="56"/>
      <c r="P74" s="56"/>
      <c r="Q74" s="56"/>
      <c r="R74" s="56"/>
      <c r="S74" s="56"/>
      <c r="T74" s="56"/>
      <c r="U74" s="56"/>
      <c r="V74" s="56"/>
      <c r="W74" s="56"/>
      <c r="X74" s="56"/>
      <c r="Y74" s="56"/>
      <c r="Z74" s="56"/>
      <c r="AA74" s="56"/>
      <c r="AB74" s="56"/>
      <c r="AC74" s="56"/>
      <c r="AD74" s="56"/>
      <c r="AE74" s="56"/>
      <c r="AF74" s="56"/>
      <c r="AG74" s="56"/>
      <c r="AH74" s="56"/>
      <c r="AI74" s="56"/>
      <c r="AJ74" s="56"/>
      <c r="AK74" s="56"/>
      <c r="AL74" s="56"/>
      <c r="AM74" s="56"/>
      <c r="AN74" s="56"/>
      <c r="AO74" s="56"/>
      <c r="AP74" s="56"/>
      <c r="AQ74" s="56">
        <f>3029+1257+1146</f>
        <v>5432</v>
      </c>
      <c r="AR74" s="56">
        <f>2751+1484+929</f>
        <v>5164</v>
      </c>
      <c r="AS74" s="56">
        <f>2793+1446+961</f>
        <v>5200</v>
      </c>
      <c r="AT74" s="56">
        <f>2712+1610+973</f>
        <v>5295</v>
      </c>
      <c r="AU74" s="56">
        <f>3375+1458+1311</f>
        <v>6144</v>
      </c>
      <c r="AV74" s="56">
        <f>3192+1664+1300</f>
        <v>6156</v>
      </c>
      <c r="AW74" s="56">
        <f>3258+1597+1143</f>
        <v>5998</v>
      </c>
      <c r="AX74" s="56">
        <f>3019+1734+1162</f>
        <v>5915</v>
      </c>
      <c r="AY74" s="56">
        <f>3813+4809</f>
        <v>8622</v>
      </c>
      <c r="AZ74" s="56">
        <f>3474+4474</f>
        <v>7948</v>
      </c>
      <c r="BA74" s="56">
        <f>3549+4121</f>
        <v>7670</v>
      </c>
      <c r="BB74" s="56">
        <f>3248+4044</f>
        <v>7292</v>
      </c>
      <c r="BC74" s="56">
        <f>4330+4887</f>
        <v>9217</v>
      </c>
      <c r="BD74" s="56">
        <f>3722+4936</f>
        <v>8658</v>
      </c>
      <c r="BE74" s="56">
        <f>4257+4910</f>
        <v>9167</v>
      </c>
      <c r="BF74" s="56">
        <f>3710+5079</f>
        <v>8789</v>
      </c>
      <c r="BG74" s="56">
        <f>4841+6376</f>
        <v>11217</v>
      </c>
      <c r="BH74" s="56">
        <f>3566+6081</f>
        <v>9647</v>
      </c>
      <c r="BI74" s="56">
        <f>4438+6391</f>
        <v>10829</v>
      </c>
      <c r="BJ74" s="56">
        <f>3364+6554</f>
        <v>9918</v>
      </c>
      <c r="BK74" s="56">
        <f>4461+6867</f>
        <v>11328</v>
      </c>
      <c r="BL74" s="56">
        <f>4467+7314</f>
        <v>11781</v>
      </c>
      <c r="BM74" s="56">
        <f>4341+6779</f>
        <v>11120</v>
      </c>
      <c r="BN74" s="56">
        <f>3418+7118</f>
        <v>10536</v>
      </c>
      <c r="BO74" s="56">
        <f>4506+7237</f>
        <v>11743</v>
      </c>
      <c r="BP74" s="56">
        <f>4963+7586</f>
        <v>12549</v>
      </c>
      <c r="BQ74" s="56">
        <f>4708+9269</f>
        <v>13977</v>
      </c>
      <c r="BR74" s="56"/>
      <c r="BS74" s="56"/>
      <c r="BT74" s="56"/>
      <c r="BU74" s="56"/>
      <c r="BV74" s="56"/>
      <c r="BW74" s="56"/>
      <c r="BX74" s="56"/>
      <c r="BY74" s="56"/>
      <c r="BZ74" s="56"/>
      <c r="CA74" s="56"/>
      <c r="CB74" s="56"/>
      <c r="CC74" s="56"/>
      <c r="CD74" s="56"/>
      <c r="CE74" s="56"/>
      <c r="CF74" s="56"/>
      <c r="CG74" s="56"/>
      <c r="CH74" s="56"/>
      <c r="CI74" s="56"/>
      <c r="CJ74" s="56"/>
      <c r="CK74" s="56"/>
      <c r="CL74" s="56"/>
      <c r="CM74" s="56"/>
      <c r="CN74" s="56"/>
      <c r="CO74" s="56"/>
      <c r="CP74" s="56"/>
      <c r="CQ74" s="56"/>
      <c r="CR74" s="56"/>
      <c r="CS74" s="56"/>
      <c r="CT74" s="45"/>
      <c r="CU74" s="45"/>
      <c r="CV74" s="45"/>
      <c r="CW74" s="45"/>
      <c r="CX74" s="45"/>
      <c r="CY74" s="45"/>
      <c r="CZ74" s="45"/>
      <c r="DA74" s="45"/>
      <c r="DB74" s="45"/>
      <c r="DC74" s="45"/>
      <c r="DD74" s="45"/>
      <c r="DE74" s="45"/>
      <c r="DF74" s="45"/>
      <c r="DG74" s="45"/>
      <c r="DH74" s="45"/>
      <c r="DI74" s="45"/>
      <c r="DJ74" s="45"/>
      <c r="DK74" s="45"/>
      <c r="DL74" s="45"/>
      <c r="DM74" s="45"/>
      <c r="DN74" s="45"/>
      <c r="DO74" s="45"/>
      <c r="DP74" s="45"/>
      <c r="DQ74" s="45"/>
      <c r="DR74" s="45"/>
      <c r="DS74" s="45"/>
      <c r="DT74" s="45"/>
      <c r="DU74" s="45"/>
      <c r="DV74" s="45"/>
      <c r="DW74" s="45"/>
      <c r="DX74" s="45"/>
      <c r="DY74" s="45"/>
      <c r="DZ74" s="45"/>
      <c r="EA74" s="45"/>
      <c r="EB74" s="45"/>
      <c r="EC74" s="45"/>
      <c r="ED74" s="45"/>
      <c r="EE74" s="45"/>
      <c r="EF74" s="45"/>
      <c r="EG74" s="45"/>
      <c r="EH74" s="45"/>
      <c r="EI74" s="45"/>
      <c r="EJ74" s="45"/>
      <c r="EK74" s="45"/>
      <c r="EL74" s="45"/>
      <c r="EM74" s="45"/>
      <c r="EN74" s="45"/>
      <c r="EO74" s="45"/>
      <c r="EP74" s="45"/>
      <c r="EQ74" s="45"/>
      <c r="ER74" s="45"/>
      <c r="ES74" s="45"/>
    </row>
    <row r="76" spans="1:149" ht="13" customHeight="1">
      <c r="B76" s="36" t="s">
        <v>152</v>
      </c>
      <c r="C76" s="38"/>
      <c r="D76" s="38"/>
      <c r="E76" s="38"/>
      <c r="F76" s="38"/>
      <c r="G76" s="56">
        <v>27429</v>
      </c>
      <c r="H76" s="56">
        <v>27998</v>
      </c>
      <c r="I76" s="56">
        <v>28497</v>
      </c>
      <c r="J76" s="56">
        <v>28809</v>
      </c>
      <c r="K76" s="56">
        <v>29154</v>
      </c>
      <c r="L76" s="56">
        <v>29364</v>
      </c>
      <c r="M76" s="56">
        <v>29515</v>
      </c>
      <c r="N76" s="38"/>
      <c r="O76" s="38"/>
      <c r="P76" s="38"/>
      <c r="Q76" s="38"/>
      <c r="R76" s="38"/>
      <c r="S76" s="38"/>
      <c r="T76" s="38"/>
      <c r="U76" s="38"/>
      <c r="V76" s="38"/>
      <c r="W76" s="38"/>
      <c r="X76" s="38"/>
      <c r="Y76" s="38"/>
      <c r="Z76" s="38"/>
      <c r="AA76" s="38"/>
      <c r="AB76" s="38"/>
      <c r="AC76" s="38"/>
      <c r="AD76" s="38"/>
      <c r="AE76" s="38"/>
      <c r="AF76" s="38"/>
      <c r="AG76" s="38"/>
      <c r="AH76" s="38"/>
      <c r="AI76" s="38"/>
      <c r="AJ76" s="38"/>
      <c r="AK76" s="38"/>
      <c r="AL76" s="38"/>
      <c r="AM76" s="56">
        <v>41636</v>
      </c>
      <c r="AN76" s="38"/>
      <c r="AO76" s="38"/>
      <c r="AP76" s="38"/>
      <c r="AQ76" s="56">
        <v>42688</v>
      </c>
      <c r="AR76" s="56">
        <v>43105</v>
      </c>
      <c r="AS76" s="56">
        <v>43161</v>
      </c>
      <c r="AT76" s="56">
        <v>42672</v>
      </c>
      <c r="AU76" s="56">
        <v>42453</v>
      </c>
      <c r="AV76" s="56">
        <v>41611</v>
      </c>
      <c r="AW76" s="56">
        <v>42158</v>
      </c>
      <c r="AX76" s="56">
        <v>42703</v>
      </c>
      <c r="AY76" s="56">
        <v>43158</v>
      </c>
      <c r="AZ76" s="56">
        <v>43526</v>
      </c>
      <c r="BA76" s="56">
        <v>44326</v>
      </c>
      <c r="BB76" s="56">
        <v>44723</v>
      </c>
      <c r="BC76" s="56">
        <v>45157</v>
      </c>
      <c r="BD76" s="56">
        <v>45971</v>
      </c>
      <c r="BE76" s="56">
        <v>46982</v>
      </c>
      <c r="BF76" s="56">
        <v>47792</v>
      </c>
      <c r="BG76" s="56">
        <v>49295</v>
      </c>
      <c r="BH76" s="56">
        <v>50816</v>
      </c>
      <c r="BI76" s="56">
        <v>52696</v>
      </c>
      <c r="BJ76" s="56">
        <v>54393</v>
      </c>
      <c r="BK76" s="56">
        <v>57089</v>
      </c>
      <c r="BL76" s="56">
        <v>59337</v>
      </c>
      <c r="BM76" s="56">
        <v>61412</v>
      </c>
      <c r="BN76" s="56">
        <v>63370</v>
      </c>
      <c r="BO76" s="56">
        <v>66015</v>
      </c>
      <c r="BP76" s="56">
        <v>69260</v>
      </c>
      <c r="BQ76" s="56">
        <v>71880</v>
      </c>
      <c r="BR76" s="56">
        <v>76302</v>
      </c>
      <c r="BS76" s="56">
        <v>77406</v>
      </c>
      <c r="BT76" s="38"/>
      <c r="BU76" s="56">
        <v>78554</v>
      </c>
      <c r="BV76" s="38"/>
      <c r="BW76" s="38"/>
      <c r="BX76" s="38"/>
      <c r="BY76" s="38"/>
      <c r="BZ76" s="38"/>
      <c r="CA76" s="38"/>
      <c r="CB76" s="38"/>
      <c r="CC76" s="38"/>
      <c r="CD76" s="38"/>
      <c r="CE76" s="38"/>
      <c r="CF76" s="38"/>
      <c r="CG76" s="38"/>
      <c r="CH76" s="38"/>
      <c r="CI76" s="38"/>
      <c r="CJ76" s="38"/>
      <c r="CK76" s="38"/>
      <c r="CL76" s="56">
        <v>27068</v>
      </c>
      <c r="CM76" s="56">
        <v>29329</v>
      </c>
      <c r="CN76" s="56">
        <v>30483</v>
      </c>
      <c r="CO76" s="56">
        <v>32632</v>
      </c>
      <c r="CP76" s="56">
        <v>34731</v>
      </c>
      <c r="CQ76" s="56">
        <v>38436</v>
      </c>
      <c r="CR76" s="56">
        <v>41450</v>
      </c>
      <c r="CS76" s="56">
        <v>41222</v>
      </c>
      <c r="CT76" s="45">
        <v>42446</v>
      </c>
      <c r="CU76" s="45"/>
      <c r="CV76" s="45"/>
      <c r="CW76" s="45"/>
      <c r="CX76" s="45"/>
      <c r="CY76" s="45">
        <f>+BF76</f>
        <v>47792</v>
      </c>
      <c r="CZ76" s="45">
        <f>+BJ76</f>
        <v>54393</v>
      </c>
      <c r="DA76" s="45">
        <f>+BN76</f>
        <v>63370</v>
      </c>
      <c r="DB76" s="39"/>
      <c r="DC76" s="39"/>
      <c r="DD76" s="39"/>
      <c r="DE76" s="39"/>
      <c r="DF76" s="39"/>
      <c r="DG76" s="39"/>
      <c r="DH76" s="39"/>
      <c r="DI76" s="39"/>
      <c r="DJ76" s="39"/>
      <c r="DK76" s="39"/>
      <c r="DL76" s="39"/>
      <c r="DM76" s="39"/>
      <c r="DN76" s="39"/>
      <c r="DO76" s="39"/>
      <c r="DP76" s="39"/>
      <c r="DQ76" s="39"/>
      <c r="DR76" s="39"/>
      <c r="DS76" s="39"/>
      <c r="DT76" s="39"/>
      <c r="DU76" s="39"/>
      <c r="DV76" s="39"/>
      <c r="DW76" s="39"/>
      <c r="DX76" s="39"/>
      <c r="DY76" s="39"/>
      <c r="DZ76" s="39"/>
      <c r="EA76" s="39"/>
      <c r="EB76" s="39"/>
      <c r="EC76" s="39"/>
      <c r="ED76" s="39"/>
      <c r="EE76" s="39"/>
      <c r="EF76" s="39"/>
      <c r="EG76" s="39"/>
      <c r="EH76" s="39"/>
      <c r="EI76" s="39"/>
      <c r="EJ76" s="39"/>
      <c r="EK76" s="39"/>
      <c r="EL76" s="39"/>
      <c r="EM76" s="39"/>
      <c r="EN76" s="39"/>
      <c r="EO76" s="39"/>
      <c r="EP76" s="39"/>
      <c r="EQ76" s="39"/>
      <c r="ER76" s="39"/>
      <c r="ES76" s="39"/>
    </row>
    <row r="78" spans="1:149" s="17" customFormat="1" ht="13" customHeight="1">
      <c r="A78" s="75"/>
      <c r="B78" s="45" t="s">
        <v>213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 t="shared" ref="AQ78:AY78" si="208">+AQ79-AQ88</f>
        <v>13791</v>
      </c>
      <c r="AR78" s="61">
        <f t="shared" si="208"/>
        <v>18787</v>
      </c>
      <c r="AS78" s="61">
        <f t="shared" si="208"/>
        <v>16158</v>
      </c>
      <c r="AT78" s="61">
        <f t="shared" si="208"/>
        <v>15076</v>
      </c>
      <c r="AU78" s="61">
        <f t="shared" si="208"/>
        <v>4405</v>
      </c>
      <c r="AV78" s="61">
        <f t="shared" si="208"/>
        <v>11306</v>
      </c>
      <c r="AW78" s="61">
        <f t="shared" si="208"/>
        <v>15270</v>
      </c>
      <c r="AX78" s="61">
        <f t="shared" si="208"/>
        <v>12254</v>
      </c>
      <c r="AY78" s="61">
        <f t="shared" si="208"/>
        <v>6964</v>
      </c>
      <c r="AZ78" s="61">
        <f t="shared" ref="AZ78" si="209">+AZ79-AZ88</f>
        <v>22884</v>
      </c>
      <c r="BA78" s="61">
        <f t="shared" ref="BA78" si="210">+BA79-BA88</f>
        <v>23695</v>
      </c>
      <c r="BB78" s="61">
        <f t="shared" ref="BB78" si="211">+BB79-BB88</f>
        <v>5016</v>
      </c>
      <c r="BC78" s="61">
        <f t="shared" ref="BC78:BF78" si="212">+BC79-BC88</f>
        <v>-322</v>
      </c>
      <c r="BD78" s="61">
        <f t="shared" si="212"/>
        <v>15382</v>
      </c>
      <c r="BE78" s="61">
        <f t="shared" si="212"/>
        <v>23282</v>
      </c>
      <c r="BF78" s="61">
        <f t="shared" si="212"/>
        <v>-8213</v>
      </c>
      <c r="BG78" s="61">
        <f>+BG79-BG88</f>
        <v>-4405</v>
      </c>
      <c r="BH78" s="61">
        <f>+BH79-BH88</f>
        <v>6059</v>
      </c>
      <c r="BI78" s="61">
        <f>+BI79-BI88</f>
        <v>11437</v>
      </c>
      <c r="BJ78" s="61">
        <f t="shared" ref="BJ78:BN78" si="213">+BJ79-BJ88</f>
        <v>-1043</v>
      </c>
      <c r="BK78" s="61">
        <f t="shared" si="213"/>
        <v>3818</v>
      </c>
      <c r="BL78" s="61">
        <f t="shared" si="213"/>
        <v>13246</v>
      </c>
      <c r="BM78" s="61">
        <f t="shared" si="213"/>
        <v>23113</v>
      </c>
      <c r="BN78" s="61">
        <f t="shared" si="213"/>
        <v>5959</v>
      </c>
      <c r="BO78" s="61">
        <f>+BO79-BO88</f>
        <v>-16723</v>
      </c>
      <c r="BP78" s="61">
        <f>+BP79-BP88</f>
        <v>7250</v>
      </c>
      <c r="BQ78" s="61">
        <f>+BQ79-BQ88</f>
        <v>18181</v>
      </c>
      <c r="BR78" s="61">
        <f>+BR79-BR88</f>
        <v>-75007</v>
      </c>
      <c r="BS78" s="61">
        <f>+BS79-BS88</f>
        <v>-73239</v>
      </c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  <c r="CP78" s="61"/>
      <c r="CQ78" s="61"/>
      <c r="CR78" s="61"/>
      <c r="CS78" s="61"/>
      <c r="DB78" s="17">
        <f>+BR78</f>
        <v>-75007</v>
      </c>
      <c r="DC78" s="17">
        <f>+DB78+DC58</f>
        <v>45281.157199999972</v>
      </c>
      <c r="DD78" s="17">
        <f t="shared" ref="DD78:DM78" si="214">+DC78+DD58</f>
        <v>195406.91951759998</v>
      </c>
      <c r="DE78" s="17">
        <f t="shared" si="214"/>
        <v>338590.38956074079</v>
      </c>
      <c r="DF78" s="17">
        <f t="shared" si="214"/>
        <v>475269.80277707672</v>
      </c>
      <c r="DG78" s="17">
        <f t="shared" si="214"/>
        <v>616245.33419187879</v>
      </c>
      <c r="DH78" s="17">
        <f t="shared" si="214"/>
        <v>754687.4433217207</v>
      </c>
      <c r="DI78" s="17">
        <f t="shared" si="214"/>
        <v>884040.01057826728</v>
      </c>
      <c r="DJ78" s="17">
        <f t="shared" si="214"/>
        <v>1008553.4351893787</v>
      </c>
      <c r="DK78" s="17">
        <f t="shared" si="214"/>
        <v>1132007.8482698863</v>
      </c>
      <c r="DL78" s="17">
        <f t="shared" si="214"/>
        <v>1258075.8300388677</v>
      </c>
      <c r="DM78" s="17">
        <f t="shared" si="214"/>
        <v>1390644.1216025543</v>
      </c>
    </row>
    <row r="79" spans="1:149" s="17" customFormat="1" ht="13" customHeight="1">
      <c r="A79" s="75"/>
      <c r="B79" s="45" t="s">
        <v>200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f>10513+2224+1030+530</f>
        <v>14297</v>
      </c>
      <c r="AR79" s="61">
        <f>18393+643+988+533</f>
        <v>20557</v>
      </c>
      <c r="AS79" s="61">
        <f>16401+244+1016+528</f>
        <v>18189</v>
      </c>
      <c r="AT79" s="61">
        <f>15638+204+1242+531</f>
        <v>17615</v>
      </c>
      <c r="AU79" s="61">
        <f>9055+281+1190+516</f>
        <v>11042</v>
      </c>
      <c r="AV79" s="61">
        <f>14457+134+1101+997</f>
        <v>16689</v>
      </c>
      <c r="AW79" s="61">
        <f>18757+612+1194+868</f>
        <v>21431</v>
      </c>
      <c r="AX79" s="61">
        <f>15475+188+1334+474</f>
        <v>17471</v>
      </c>
      <c r="AY79" s="61">
        <f>9765+598+1259+466</f>
        <v>12088</v>
      </c>
      <c r="AZ79" s="61">
        <f>24874+750+1383+467</f>
        <v>27474</v>
      </c>
      <c r="BA79" s="61">
        <f>25480+1688+1032+601</f>
        <v>28801</v>
      </c>
      <c r="BB79" s="61">
        <f>12757+2332+582+1066</f>
        <v>16737</v>
      </c>
      <c r="BC79" s="61">
        <f>5683+1153+1983+1186+563</f>
        <v>10568</v>
      </c>
      <c r="BD79" s="61">
        <f>24229+885+2987+1273+566</f>
        <v>29940</v>
      </c>
      <c r="BE79" s="61">
        <f>29493+1472+5897+1217+561</f>
        <v>38640</v>
      </c>
      <c r="BF79" s="61">
        <f>10720+1690+6765+525+916</f>
        <v>20616</v>
      </c>
      <c r="BG79" s="61">
        <f>13394+813+1936+6752+466</f>
        <v>23361</v>
      </c>
      <c r="BH79" s="61">
        <f>22758+3597+8279+463+779</f>
        <v>35876</v>
      </c>
      <c r="BI79" s="61">
        <f>28465+5277+9008+781+458</f>
        <v>43989</v>
      </c>
      <c r="BJ79" s="61">
        <f>12653+2727+10921+1016+327</f>
        <v>27644</v>
      </c>
      <c r="BK79" s="61">
        <f>14936+2636+12835+941+270</f>
        <v>31618</v>
      </c>
      <c r="BL79" s="61">
        <f>21574+2602+14834+1209+270</f>
        <v>40489</v>
      </c>
      <c r="BM79" s="61">
        <f>30144+3106+17451+1202+269</f>
        <v>52172</v>
      </c>
      <c r="BN79" s="61">
        <f>14392+2344+15838+1253+410</f>
        <v>34237</v>
      </c>
      <c r="BO79" s="61">
        <f>6324+1768+2979+1244</f>
        <v>12315</v>
      </c>
      <c r="BP79" s="61">
        <f>52821+2360+9833+412+1247</f>
        <v>66673</v>
      </c>
      <c r="BQ79" s="61">
        <f>57018+2706+17863+1643+404</f>
        <v>79634</v>
      </c>
      <c r="BR79" s="61">
        <f>400+15655+6326+10653+2277</f>
        <v>35311</v>
      </c>
      <c r="BS79" s="61">
        <f>394+38938+3626+2612+2306</f>
        <v>47876</v>
      </c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  <c r="CP79" s="61"/>
      <c r="CQ79" s="61"/>
      <c r="CR79" s="61"/>
      <c r="CS79" s="61"/>
    </row>
    <row r="80" spans="1:149" s="17" customFormat="1" ht="13" customHeight="1">
      <c r="A80" s="75"/>
      <c r="B80" s="45" t="s">
        <v>132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v>2660</v>
      </c>
      <c r="AR80" s="61">
        <v>2635</v>
      </c>
      <c r="AS80" s="61">
        <v>2725</v>
      </c>
      <c r="AT80" s="61">
        <v>3090</v>
      </c>
      <c r="AU80" s="61">
        <v>3164</v>
      </c>
      <c r="AV80" s="61">
        <v>3279</v>
      </c>
      <c r="AW80" s="61">
        <v>3548</v>
      </c>
      <c r="AX80" s="61">
        <f>3434+841</f>
        <v>4275</v>
      </c>
      <c r="AY80" s="61">
        <f>3666+708</f>
        <v>4374</v>
      </c>
      <c r="AZ80" s="61">
        <v>4201</v>
      </c>
      <c r="BA80" s="61">
        <v>3613</v>
      </c>
      <c r="BB80" s="61">
        <f>4161+674</f>
        <v>4835</v>
      </c>
      <c r="BC80" s="61">
        <v>3991</v>
      </c>
      <c r="BD80" s="61">
        <f>3781+413</f>
        <v>4194</v>
      </c>
      <c r="BE80" s="61">
        <f>5202+332</f>
        <v>5534</v>
      </c>
      <c r="BF80" s="61">
        <f>5037+267</f>
        <v>5304</v>
      </c>
      <c r="BG80" s="61">
        <f>4824+239</f>
        <v>5063</v>
      </c>
      <c r="BH80" s="61">
        <f>4645+252</f>
        <v>4897</v>
      </c>
      <c r="BI80" s="61">
        <f>5406+247</f>
        <v>5653</v>
      </c>
      <c r="BJ80" s="61">
        <f>6005+206</f>
        <v>6211</v>
      </c>
      <c r="BK80" s="61">
        <f>6286+288</f>
        <v>6574</v>
      </c>
      <c r="BL80" s="61">
        <f>6448+338</f>
        <v>6786</v>
      </c>
      <c r="BM80" s="61">
        <f>7837+430</f>
        <v>8267</v>
      </c>
      <c r="BN80" s="61">
        <v>8068</v>
      </c>
      <c r="BO80" s="61">
        <f>8643+2012+407</f>
        <v>11062</v>
      </c>
      <c r="BP80" s="61">
        <f>9667+2178</f>
        <v>11845</v>
      </c>
      <c r="BQ80" s="61">
        <f>10132+2456</f>
        <v>12588</v>
      </c>
      <c r="BR80" s="61">
        <f>12612+4016</f>
        <v>16628</v>
      </c>
      <c r="BS80" s="61">
        <v>13924</v>
      </c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  <c r="CP80" s="61"/>
      <c r="CQ80" s="61"/>
      <c r="CR80" s="61"/>
      <c r="CS80" s="61"/>
    </row>
    <row r="81" spans="1:97" s="17" customFormat="1" ht="13" customHeight="1">
      <c r="A81" s="75"/>
      <c r="B81" s="45" t="s">
        <v>206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f>2309+1914</f>
        <v>4223</v>
      </c>
      <c r="AR81" s="61">
        <f>724+2057</f>
        <v>2781</v>
      </c>
      <c r="AS81" s="61">
        <f>309+2051</f>
        <v>2360</v>
      </c>
      <c r="AT81" s="61">
        <f>1013+2893</f>
        <v>3906</v>
      </c>
      <c r="AU81" s="61">
        <f>1910+3043</f>
        <v>4953</v>
      </c>
      <c r="AV81" s="61">
        <f>475+2987</f>
        <v>3462</v>
      </c>
      <c r="AW81" s="61">
        <f>455+4113</f>
        <v>4568</v>
      </c>
      <c r="AX81" s="61">
        <f>806+4121</f>
        <v>4927</v>
      </c>
      <c r="AY81" s="61">
        <f>1812+3929</f>
        <v>5741</v>
      </c>
      <c r="AZ81" s="61">
        <f>259+3768</f>
        <v>4027</v>
      </c>
      <c r="BA81" s="61">
        <f>423+4745</f>
        <v>5168</v>
      </c>
      <c r="BB81" s="61">
        <f>289+5865</f>
        <v>6154</v>
      </c>
      <c r="BC81" s="61">
        <f>1897+5912</f>
        <v>7809</v>
      </c>
      <c r="BD81" s="61">
        <f>344+6349</f>
        <v>6693</v>
      </c>
      <c r="BE81" s="61">
        <f>390+7372</f>
        <v>7762</v>
      </c>
      <c r="BF81" s="61">
        <f>1119+8672</f>
        <v>9791</v>
      </c>
      <c r="BG81" s="61">
        <f>3101+9338</f>
        <v>12439</v>
      </c>
      <c r="BH81" s="61">
        <f>1168+10309</f>
        <v>11477</v>
      </c>
      <c r="BI81" s="61">
        <f>2541+11303</f>
        <v>13844</v>
      </c>
      <c r="BJ81" s="61">
        <f>940+13427</f>
        <v>14367</v>
      </c>
      <c r="BK81" s="61">
        <f>1133+14080</f>
        <v>15213</v>
      </c>
      <c r="BL81" s="61">
        <f>2779+15612</f>
        <v>18391</v>
      </c>
      <c r="BM81" s="61">
        <f>1525+18814</f>
        <v>20339</v>
      </c>
      <c r="BN81" s="56">
        <f>20380+2423</f>
        <v>22803</v>
      </c>
      <c r="BO81" s="61">
        <f>6108+20967</f>
        <v>27075</v>
      </c>
      <c r="BP81" s="61">
        <f>2898+22565</f>
        <v>25463</v>
      </c>
      <c r="BQ81" s="61">
        <f>3198+23458</f>
        <v>26656</v>
      </c>
      <c r="BR81" s="61">
        <f>2853+24627</f>
        <v>27480</v>
      </c>
      <c r="BS81" s="61">
        <f>2983+26275</f>
        <v>29258</v>
      </c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  <c r="CP81" s="61"/>
      <c r="CQ81" s="61"/>
      <c r="CR81" s="61"/>
      <c r="CS81" s="61"/>
    </row>
    <row r="82" spans="1:97" s="17" customFormat="1" ht="13" customHeight="1">
      <c r="A82" s="75"/>
      <c r="B82" s="45" t="s">
        <v>205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16342</v>
      </c>
      <c r="AR82" s="61">
        <v>18973</v>
      </c>
      <c r="AS82" s="61">
        <v>18534</v>
      </c>
      <c r="AT82" s="61">
        <v>22786</v>
      </c>
      <c r="AU82" s="61">
        <v>21486</v>
      </c>
      <c r="AV82" s="61">
        <v>23246</v>
      </c>
      <c r="AW82" s="61">
        <v>22519</v>
      </c>
      <c r="AX82" s="61">
        <v>24912</v>
      </c>
      <c r="AY82" s="61">
        <v>30091</v>
      </c>
      <c r="AZ82" s="61">
        <f>25686+637</f>
        <v>26323</v>
      </c>
      <c r="BA82" s="61">
        <f>24358+562</f>
        <v>24920</v>
      </c>
      <c r="BB82" s="61">
        <v>27734</v>
      </c>
      <c r="BC82" s="61">
        <f>28029+551</f>
        <v>28580</v>
      </c>
      <c r="BD82" s="61">
        <v>26098</v>
      </c>
      <c r="BE82" s="61">
        <v>29860</v>
      </c>
      <c r="BF82" s="61">
        <v>40643</v>
      </c>
      <c r="BG82" s="61">
        <v>36241</v>
      </c>
      <c r="BH82" s="61">
        <v>40826</v>
      </c>
      <c r="BI82" s="61">
        <v>45563</v>
      </c>
      <c r="BJ82" s="61">
        <v>50560</v>
      </c>
      <c r="BK82" s="61">
        <v>50502</v>
      </c>
      <c r="BL82" s="61">
        <v>61294</v>
      </c>
      <c r="BM82" s="61">
        <v>52602</v>
      </c>
      <c r="BN82" s="61">
        <f>1430+64770</f>
        <v>66200</v>
      </c>
      <c r="BO82" s="61">
        <v>56999</v>
      </c>
      <c r="BP82" s="61">
        <v>63565</v>
      </c>
      <c r="BQ82" s="61">
        <v>66299</v>
      </c>
      <c r="BR82" s="61">
        <v>71949</v>
      </c>
      <c r="BS82" s="61">
        <f>69459+4037</f>
        <v>73496</v>
      </c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  <c r="CP82" s="61"/>
      <c r="CQ82" s="61"/>
      <c r="CR82" s="61"/>
      <c r="CS82" s="61"/>
    </row>
    <row r="83" spans="1:97" s="17" customFormat="1" ht="13" customHeight="1">
      <c r="A83" s="75"/>
      <c r="B83" s="45" t="s">
        <v>204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15867</v>
      </c>
      <c r="AR83" s="61">
        <v>16134</v>
      </c>
      <c r="AS83" s="61">
        <v>15922</v>
      </c>
      <c r="AT83" s="61">
        <v>16336</v>
      </c>
      <c r="AU83" s="61">
        <v>16838</v>
      </c>
      <c r="AV83" s="56">
        <v>17129</v>
      </c>
      <c r="AW83" s="61">
        <v>17509</v>
      </c>
      <c r="AX83" s="61">
        <v>17641</v>
      </c>
      <c r="AY83" s="61">
        <v>17261</v>
      </c>
      <c r="AZ83" s="61">
        <v>17809</v>
      </c>
      <c r="BA83" s="61">
        <v>18105</v>
      </c>
      <c r="BB83" s="61">
        <v>18536</v>
      </c>
      <c r="BC83" s="61">
        <v>18653</v>
      </c>
      <c r="BD83" s="61">
        <v>18822</v>
      </c>
      <c r="BE83" s="61">
        <v>18899</v>
      </c>
      <c r="BF83" s="61">
        <v>19621</v>
      </c>
      <c r="BG83" s="61">
        <v>20289</v>
      </c>
      <c r="BH83" s="61">
        <v>21706</v>
      </c>
      <c r="BI83" s="61">
        <v>23222</v>
      </c>
      <c r="BJ83" s="61">
        <v>24388</v>
      </c>
      <c r="BK83" s="61">
        <v>25615</v>
      </c>
      <c r="BL83" s="61">
        <v>28020</v>
      </c>
      <c r="BM83" s="61">
        <v>29534</v>
      </c>
      <c r="BN83" s="61">
        <v>31811</v>
      </c>
      <c r="BO83" s="61">
        <v>33600</v>
      </c>
      <c r="BP83" s="61">
        <v>36356</v>
      </c>
      <c r="BQ83" s="61">
        <v>37944</v>
      </c>
      <c r="BR83" s="61">
        <v>40849</v>
      </c>
      <c r="BS83" s="61">
        <v>42853</v>
      </c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  <c r="CP83" s="61"/>
      <c r="CQ83" s="61"/>
      <c r="CR83" s="61"/>
      <c r="CS83" s="61"/>
    </row>
    <row r="84" spans="1:97" s="17" customFormat="1" ht="13" customHeight="1">
      <c r="A84" s="75"/>
      <c r="B84" s="45" t="s">
        <v>203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v>36134</v>
      </c>
      <c r="AR84" s="61">
        <v>37971</v>
      </c>
      <c r="AS84" s="61">
        <v>39555</v>
      </c>
      <c r="AT84" s="61">
        <v>41891</v>
      </c>
      <c r="AU84" s="61">
        <v>47350</v>
      </c>
      <c r="AV84" s="61">
        <v>48204</v>
      </c>
      <c r="AW84" s="61">
        <v>50300</v>
      </c>
      <c r="AX84" s="61">
        <v>50551</v>
      </c>
      <c r="AY84" s="61">
        <v>50863</v>
      </c>
      <c r="AZ84" s="61">
        <v>50502</v>
      </c>
      <c r="BA84" s="61">
        <v>49925</v>
      </c>
      <c r="BB84" s="61">
        <v>50269</v>
      </c>
      <c r="BC84" s="61">
        <v>51429</v>
      </c>
      <c r="BD84" s="61">
        <v>52076</v>
      </c>
      <c r="BE84" s="61">
        <v>52863</v>
      </c>
      <c r="BF84" s="61">
        <v>55362</v>
      </c>
      <c r="BG84" s="61">
        <v>56399</v>
      </c>
      <c r="BH84" s="61">
        <v>59556</v>
      </c>
      <c r="BI84" s="61">
        <v>63641</v>
      </c>
      <c r="BJ84" s="61">
        <v>66671</v>
      </c>
      <c r="BK84" s="61">
        <v>70014</v>
      </c>
      <c r="BL84" s="61">
        <v>75024</v>
      </c>
      <c r="BM84" s="61">
        <v>81461</v>
      </c>
      <c r="BN84" s="61">
        <v>90961</v>
      </c>
      <c r="BO84" s="61">
        <v>98230</v>
      </c>
      <c r="BP84" s="61">
        <v>109980</v>
      </c>
      <c r="BQ84" s="61">
        <v>119832</v>
      </c>
      <c r="BR84" s="61">
        <v>162488</v>
      </c>
      <c r="BS84" s="61">
        <v>172376</v>
      </c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  <c r="CP84" s="61"/>
      <c r="CQ84" s="61"/>
      <c r="CR84" s="61"/>
      <c r="CS84" s="61"/>
    </row>
    <row r="85" spans="1:97" s="17" customFormat="1" ht="13" customHeight="1">
      <c r="A85" s="75"/>
      <c r="B85" s="45" t="s">
        <v>202</v>
      </c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>
        <v>4035</v>
      </c>
      <c r="AR85" s="61">
        <v>4197</v>
      </c>
      <c r="AS85" s="61">
        <v>4610</v>
      </c>
      <c r="AT85" s="61">
        <v>5145</v>
      </c>
      <c r="AU85" s="61">
        <v>5302</v>
      </c>
      <c r="AV85" s="61">
        <v>5900</v>
      </c>
      <c r="AW85" s="61">
        <v>5033</v>
      </c>
      <c r="AX85" s="61">
        <v>5835</v>
      </c>
      <c r="AY85" s="61">
        <v>5838</v>
      </c>
      <c r="AZ85" s="61">
        <v>5785</v>
      </c>
      <c r="BA85" s="61">
        <v>9415</v>
      </c>
      <c r="BB85" s="61">
        <v>20657</v>
      </c>
      <c r="BC85" s="61">
        <v>20357</v>
      </c>
      <c r="BD85" s="61">
        <v>20272</v>
      </c>
      <c r="BE85" s="61">
        <v>20526</v>
      </c>
      <c r="BF85" s="61">
        <v>43171</v>
      </c>
      <c r="BG85" s="61">
        <v>43344</v>
      </c>
      <c r="BH85" s="61">
        <v>44590</v>
      </c>
      <c r="BI85" s="61">
        <v>46924</v>
      </c>
      <c r="BJ85" s="61">
        <v>51416</v>
      </c>
      <c r="BK85" s="61">
        <v>50489</v>
      </c>
      <c r="BL85" s="61">
        <v>50749</v>
      </c>
      <c r="BM85" s="61">
        <v>55726</v>
      </c>
      <c r="BN85" s="61">
        <v>60406</v>
      </c>
      <c r="BO85" s="61">
        <v>59640</v>
      </c>
      <c r="BP85" s="61">
        <v>55501</v>
      </c>
      <c r="BQ85" s="61">
        <v>54488</v>
      </c>
      <c r="BR85" s="61">
        <v>111090</v>
      </c>
      <c r="BS85" s="61">
        <v>109379</v>
      </c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  <c r="CP85" s="61"/>
      <c r="CQ85" s="61"/>
      <c r="CR85" s="61"/>
      <c r="CS85" s="61"/>
    </row>
    <row r="86" spans="1:97" s="17" customFormat="1" ht="13" customHeight="1">
      <c r="A86" s="75"/>
      <c r="B86" s="45" t="s">
        <v>201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15">SUM(AQ79:AQ85)</f>
        <v>93558</v>
      </c>
      <c r="AR86" s="61">
        <f t="shared" si="215"/>
        <v>103248</v>
      </c>
      <c r="AS86" s="61">
        <f t="shared" si="215"/>
        <v>101895</v>
      </c>
      <c r="AT86" s="61">
        <f t="shared" si="215"/>
        <v>110769</v>
      </c>
      <c r="AU86" s="61">
        <f t="shared" ref="AU86:AX86" si="216">SUM(AU79:AU85)</f>
        <v>110135</v>
      </c>
      <c r="AV86" s="61">
        <f t="shared" si="216"/>
        <v>117909</v>
      </c>
      <c r="AW86" s="61">
        <f t="shared" si="216"/>
        <v>124908</v>
      </c>
      <c r="AX86" s="61">
        <f t="shared" si="216"/>
        <v>125612</v>
      </c>
      <c r="AY86" s="61">
        <f t="shared" ref="AY86" si="217">SUM(AY79:AY85)</f>
        <v>126256</v>
      </c>
      <c r="AZ86" s="61">
        <f t="shared" ref="AZ86" si="218">SUM(AZ79:AZ85)</f>
        <v>136121</v>
      </c>
      <c r="BA86" s="61">
        <f t="shared" ref="BA86" si="219">SUM(BA79:BA85)</f>
        <v>139947</v>
      </c>
      <c r="BB86" s="61">
        <f t="shared" ref="BB86" si="220">SUM(BB79:BB85)</f>
        <v>144922</v>
      </c>
      <c r="BC86" s="61">
        <f t="shared" ref="BC86:BF86" si="221">SUM(BC79:BC85)</f>
        <v>141387</v>
      </c>
      <c r="BD86" s="61">
        <f t="shared" si="221"/>
        <v>158095</v>
      </c>
      <c r="BE86" s="61">
        <f t="shared" si="221"/>
        <v>174084</v>
      </c>
      <c r="BF86" s="61">
        <f t="shared" si="221"/>
        <v>194508</v>
      </c>
      <c r="BG86" s="61">
        <f>SUM(BG79:BG85)</f>
        <v>197136</v>
      </c>
      <c r="BH86" s="61">
        <f>SUM(BH79:BH85)</f>
        <v>218928</v>
      </c>
      <c r="BI86" s="61">
        <f>SUM(BI79:BI85)</f>
        <v>242836</v>
      </c>
      <c r="BJ86" s="61">
        <f t="shared" ref="BJ86:BS86" si="222">SUM(BJ79:BJ85)</f>
        <v>241257</v>
      </c>
      <c r="BK86" s="61">
        <f t="shared" si="222"/>
        <v>250025</v>
      </c>
      <c r="BL86" s="61">
        <f t="shared" si="222"/>
        <v>280753</v>
      </c>
      <c r="BM86" s="61">
        <f t="shared" si="222"/>
        <v>300101</v>
      </c>
      <c r="BN86" s="61">
        <f t="shared" si="222"/>
        <v>314486</v>
      </c>
      <c r="BO86" s="61">
        <f t="shared" si="222"/>
        <v>298921</v>
      </c>
      <c r="BP86" s="61">
        <f t="shared" si="222"/>
        <v>369383</v>
      </c>
      <c r="BQ86" s="61">
        <f t="shared" si="222"/>
        <v>397441</v>
      </c>
      <c r="BR86" s="61">
        <f t="shared" si="222"/>
        <v>465795</v>
      </c>
      <c r="BS86" s="61">
        <f t="shared" si="222"/>
        <v>489162</v>
      </c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  <c r="CP86" s="61"/>
      <c r="CQ86" s="61"/>
      <c r="CR86" s="61"/>
      <c r="CS86" s="61"/>
    </row>
    <row r="87" spans="1:97" s="17" customFormat="1" ht="13" customHeight="1">
      <c r="A87" s="75"/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/>
      <c r="AR87" s="61"/>
      <c r="AS87" s="61"/>
      <c r="AT87" s="61"/>
      <c r="AU87" s="61"/>
      <c r="AV87" s="61"/>
      <c r="AW87" s="61"/>
      <c r="AX87" s="61"/>
      <c r="AY87" s="61"/>
      <c r="AZ87" s="61"/>
      <c r="BA87" s="61"/>
      <c r="BB87" s="61"/>
      <c r="BC87" s="61"/>
      <c r="BD87" s="61"/>
      <c r="BE87" s="61"/>
      <c r="BF87" s="61"/>
      <c r="BG87" s="61"/>
      <c r="BH87" s="61"/>
      <c r="BI87" s="61"/>
      <c r="BJ87" s="61"/>
      <c r="BK87" s="61"/>
      <c r="BL87" s="61"/>
      <c r="BM87" s="61"/>
      <c r="BN87" s="61"/>
      <c r="BO87" s="61"/>
      <c r="BP87" s="61"/>
      <c r="BQ87" s="61"/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  <c r="CP87" s="61"/>
      <c r="CQ87" s="61"/>
      <c r="CR87" s="61"/>
      <c r="CS87" s="61"/>
    </row>
    <row r="88" spans="1:97" s="17" customFormat="1" ht="13" customHeight="1">
      <c r="A88" s="75"/>
      <c r="B88" s="45" t="s">
        <v>207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56">
        <f>278+228</f>
        <v>506</v>
      </c>
      <c r="AR88" s="61">
        <f>247+1523</f>
        <v>1770</v>
      </c>
      <c r="AS88" s="61">
        <f>1694+337</f>
        <v>2031</v>
      </c>
      <c r="AT88" s="61">
        <f>2024+515</f>
        <v>2539</v>
      </c>
      <c r="AU88" s="61">
        <f>2319+1114+3204</f>
        <v>6637</v>
      </c>
      <c r="AV88" s="61">
        <f>1151+1255+2977</f>
        <v>5383</v>
      </c>
      <c r="AW88" s="61">
        <f>1818+1416+2927</f>
        <v>6161</v>
      </c>
      <c r="AX88" s="61">
        <f>734+1474+3009</f>
        <v>5217</v>
      </c>
      <c r="AY88" s="61">
        <f>2866+1244+1014</f>
        <v>5124</v>
      </c>
      <c r="AZ88" s="61">
        <f>1408+2735+447</f>
        <v>4590</v>
      </c>
      <c r="BA88" s="61">
        <f>1468+2636+1002</f>
        <v>5106</v>
      </c>
      <c r="BB88" s="61">
        <f>1365+7459+2897</f>
        <v>11721</v>
      </c>
      <c r="BC88" s="61">
        <f>6823+2832+1235</f>
        <v>10890</v>
      </c>
      <c r="BD88" s="61">
        <f>12463+1301+794</f>
        <v>14558</v>
      </c>
      <c r="BE88" s="61">
        <f>1610+1350+12398</f>
        <v>15358</v>
      </c>
      <c r="BF88" s="61">
        <f>13684+12961+2184</f>
        <v>28829</v>
      </c>
      <c r="BG88" s="61">
        <f>1396+24084+2286</f>
        <v>27766</v>
      </c>
      <c r="BH88" s="61">
        <f>24178+4383+1256</f>
        <v>29817</v>
      </c>
      <c r="BI88" s="61">
        <f>24136+1833+6583</f>
        <v>32552</v>
      </c>
      <c r="BJ88" s="61">
        <f>24318+1466+2903</f>
        <v>28687</v>
      </c>
      <c r="BK88" s="61">
        <f>24267+1251+2282</f>
        <v>27800</v>
      </c>
      <c r="BL88" s="61">
        <f>6289+19415+1539</f>
        <v>27243</v>
      </c>
      <c r="BM88" s="61">
        <f>19924+6613+2522</f>
        <v>29059</v>
      </c>
      <c r="BN88" s="61">
        <f>1272+6478+20528</f>
        <v>28278</v>
      </c>
      <c r="BO88" s="61">
        <f>16764+10164+2110</f>
        <v>29038</v>
      </c>
      <c r="BP88" s="61">
        <f>51608+5452+2363</f>
        <v>59423</v>
      </c>
      <c r="BQ88" s="61">
        <f>5520+51452+4481</f>
        <v>61453</v>
      </c>
      <c r="BR88" s="61">
        <f>89674+13113+7531</f>
        <v>110318</v>
      </c>
      <c r="BS88" s="61">
        <f>96310+22413+2392</f>
        <v>121115</v>
      </c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  <c r="CP88" s="61"/>
      <c r="CQ88" s="61"/>
      <c r="CR88" s="61"/>
      <c r="CS88" s="61"/>
    </row>
    <row r="89" spans="1:97" s="17" customFormat="1" ht="13" customHeight="1">
      <c r="A89" s="75"/>
      <c r="B89" s="45" t="s">
        <v>208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f>20011+3165</f>
        <v>23176</v>
      </c>
      <c r="AR89" s="61">
        <f>24745+3265</f>
        <v>28010</v>
      </c>
      <c r="AS89" s="61">
        <f>24870+3340</f>
        <v>28210</v>
      </c>
      <c r="AT89" s="61">
        <f>26161+3392</f>
        <v>29553</v>
      </c>
      <c r="AU89" s="61">
        <f>28504+3487</f>
        <v>31991</v>
      </c>
      <c r="AV89" s="61">
        <f>31097+3393</f>
        <v>34490</v>
      </c>
      <c r="AW89" s="61">
        <f>32941+4240</f>
        <v>37181</v>
      </c>
      <c r="AX89" s="61">
        <f>31120+4613</f>
        <v>35733</v>
      </c>
      <c r="AY89" s="61">
        <f>36905+4607</f>
        <v>41512</v>
      </c>
      <c r="AZ89" s="61">
        <f>39031+4559</f>
        <v>43590</v>
      </c>
      <c r="BA89" s="61">
        <f>42038+4475</f>
        <v>46513</v>
      </c>
      <c r="BB89" s="61">
        <f>34814+4526</f>
        <v>39340</v>
      </c>
      <c r="BC89" s="61">
        <f>38513+4508</f>
        <v>43021</v>
      </c>
      <c r="BD89" s="61">
        <f>46388+4241</f>
        <v>50629</v>
      </c>
      <c r="BE89" s="61">
        <f>52868+4297</f>
        <v>57165</v>
      </c>
      <c r="BF89" s="61">
        <f>51520+4374</f>
        <v>55894</v>
      </c>
      <c r="BG89" s="61">
        <f>58804+4388</f>
        <v>63192</v>
      </c>
      <c r="BH89" s="61">
        <f>65788+4642</f>
        <v>70430</v>
      </c>
      <c r="BI89" s="61">
        <f>84745+5300</f>
        <v>90045</v>
      </c>
      <c r="BJ89" s="61">
        <f>70287+4590</f>
        <v>74877</v>
      </c>
      <c r="BK89" s="61">
        <f>87956+5044</f>
        <v>93000</v>
      </c>
      <c r="BL89" s="61">
        <f>98858+5728</f>
        <v>104586</v>
      </c>
      <c r="BM89" s="61">
        <f>104843+5937</f>
        <v>110780</v>
      </c>
      <c r="BN89" s="61">
        <f>100478+6649</f>
        <v>107127</v>
      </c>
      <c r="BO89" s="61">
        <f>7177+102937</f>
        <v>110114</v>
      </c>
      <c r="BP89" s="61">
        <f>114492+7528</f>
        <v>122020</v>
      </c>
      <c r="BQ89" s="61">
        <f>128990+7645</f>
        <v>136635</v>
      </c>
      <c r="BR89" s="61">
        <f>8755+120329</f>
        <v>129084</v>
      </c>
      <c r="BS89" s="61">
        <f>8633+117650</f>
        <v>126283</v>
      </c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  <c r="CP89" s="61"/>
      <c r="CQ89" s="61"/>
      <c r="CR89" s="61"/>
      <c r="CS89" s="61"/>
    </row>
    <row r="90" spans="1:97" s="17" customFormat="1" ht="13" customHeight="1">
      <c r="A90" s="75"/>
      <c r="B90" s="45" t="s">
        <v>132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v>15441</v>
      </c>
      <c r="AR90" s="61">
        <v>13451</v>
      </c>
      <c r="AS90" s="61">
        <v>13252</v>
      </c>
      <c r="AT90" s="61">
        <v>14098</v>
      </c>
      <c r="AU90" s="61">
        <v>14674</v>
      </c>
      <c r="AV90" s="61">
        <v>13595</v>
      </c>
      <c r="AW90" s="61">
        <v>14414</v>
      </c>
      <c r="AX90" s="61">
        <v>15085</v>
      </c>
      <c r="AY90" s="61">
        <v>15440</v>
      </c>
      <c r="AZ90" s="61">
        <v>13544</v>
      </c>
      <c r="BA90" s="61">
        <v>15298</v>
      </c>
      <c r="BB90" s="61">
        <v>17005</v>
      </c>
      <c r="BC90" s="61">
        <v>16108</v>
      </c>
      <c r="BD90" s="61">
        <v>13797</v>
      </c>
      <c r="BE90" s="61">
        <v>17629</v>
      </c>
      <c r="BF90" s="61">
        <f>19600+360</f>
        <v>19960</v>
      </c>
      <c r="BG90" s="61">
        <f>257+21831</f>
        <v>22088</v>
      </c>
      <c r="BH90" s="61">
        <f>19631+167</f>
        <v>19798</v>
      </c>
      <c r="BI90" s="61">
        <f>21389+240</f>
        <v>21629</v>
      </c>
      <c r="BJ90" s="61">
        <f>23606+100</f>
        <v>23706</v>
      </c>
      <c r="BK90" s="56">
        <f>24360+322</f>
        <v>24682</v>
      </c>
      <c r="BL90" s="61">
        <f>22527+193</f>
        <v>22720</v>
      </c>
      <c r="BM90" s="61">
        <f>26171+199</f>
        <v>26370</v>
      </c>
      <c r="BN90" s="61">
        <f>28705+189</f>
        <v>28894</v>
      </c>
      <c r="BO90" s="61">
        <f>31425+15</f>
        <v>31440</v>
      </c>
      <c r="BP90" s="61">
        <f>29937+16</f>
        <v>29953</v>
      </c>
      <c r="BQ90" s="61">
        <f>30637+16</f>
        <v>30653</v>
      </c>
      <c r="BR90" s="61">
        <f>23+37993</f>
        <v>38016</v>
      </c>
      <c r="BS90" s="61">
        <f>21+58585</f>
        <v>58606</v>
      </c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  <c r="CP90" s="61"/>
      <c r="CQ90" s="61"/>
      <c r="CR90" s="61"/>
      <c r="CS90" s="61"/>
    </row>
    <row r="91" spans="1:97" s="17" customFormat="1" ht="13" customHeight="1">
      <c r="A91" s="75"/>
      <c r="B91" s="45" t="s">
        <v>206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f>4093+791</f>
        <v>4884</v>
      </c>
      <c r="AR91" s="61">
        <f>3383+476</f>
        <v>3859</v>
      </c>
      <c r="AS91" s="61">
        <f>4426+362</f>
        <v>4788</v>
      </c>
      <c r="AT91" s="61">
        <f>4610+118</f>
        <v>4728</v>
      </c>
      <c r="AU91" s="61">
        <f>3927+12</f>
        <v>3939</v>
      </c>
      <c r="AV91" s="61">
        <f>4228+542</f>
        <v>4770</v>
      </c>
      <c r="AW91" s="61">
        <f>6604+190</f>
        <v>6794</v>
      </c>
      <c r="AX91" s="61">
        <f>4212+80</f>
        <v>4292</v>
      </c>
      <c r="AY91" s="61">
        <f>3240+55</f>
        <v>3295</v>
      </c>
      <c r="AZ91" s="61">
        <f>3893+238</f>
        <v>4131</v>
      </c>
      <c r="BA91" s="61">
        <f>5019+991</f>
        <v>6010</v>
      </c>
      <c r="BB91" s="61">
        <f>3913+2502</f>
        <v>6415</v>
      </c>
      <c r="BC91" s="61">
        <f>5305+4606</f>
        <v>9911</v>
      </c>
      <c r="BD91" s="61">
        <f>2902+1818</f>
        <v>4720</v>
      </c>
      <c r="BE91" s="61">
        <f>5994+1643</f>
        <v>7637</v>
      </c>
      <c r="BF91" s="61">
        <f>3658+5271</f>
        <v>8929</v>
      </c>
      <c r="BG91" s="61">
        <f>5305+4606</f>
        <v>9911</v>
      </c>
      <c r="BH91" s="61">
        <f>3943+5217</f>
        <v>9160</v>
      </c>
      <c r="BI91" s="61">
        <v>7397</v>
      </c>
      <c r="BJ91" s="61">
        <f>7091+7061</f>
        <v>14152</v>
      </c>
      <c r="BK91" s="61">
        <f>6062+7875</f>
        <v>13937</v>
      </c>
      <c r="BL91" s="61">
        <f>9617+7627</f>
        <v>17244</v>
      </c>
      <c r="BM91" s="61">
        <f>12297+7885</f>
        <v>20182</v>
      </c>
      <c r="BN91" s="61">
        <f>7116+10162</f>
        <v>17278</v>
      </c>
      <c r="BO91" s="61">
        <f>5964+9664</f>
        <v>15628</v>
      </c>
      <c r="BP91" s="61">
        <f>5906+9037</f>
        <v>14943</v>
      </c>
      <c r="BQ91" s="61">
        <f>14651+8655</f>
        <v>23306</v>
      </c>
      <c r="BR91" s="61">
        <f>5426+9716</f>
        <v>15142</v>
      </c>
      <c r="BS91" s="61">
        <f>8705+15501</f>
        <v>24206</v>
      </c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  <c r="CP91" s="61"/>
      <c r="CQ91" s="61"/>
      <c r="CR91" s="61"/>
      <c r="CS91" s="61"/>
    </row>
    <row r="92" spans="1:97" s="17" customFormat="1" ht="13" customHeight="1">
      <c r="A92" s="75"/>
      <c r="B92" s="45" t="s">
        <v>209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4117</v>
      </c>
      <c r="AR92" s="61">
        <v>5830</v>
      </c>
      <c r="AS92" s="61">
        <v>4846</v>
      </c>
      <c r="AT92" s="61">
        <v>6756</v>
      </c>
      <c r="AU92" s="61">
        <v>4222</v>
      </c>
      <c r="AV92" s="61">
        <v>5269</v>
      </c>
      <c r="AW92" s="61">
        <v>5894</v>
      </c>
      <c r="AX92" s="61">
        <v>6358</v>
      </c>
      <c r="AY92" s="61">
        <v>5344</v>
      </c>
      <c r="AZ92" s="61">
        <v>8961</v>
      </c>
      <c r="BA92" s="61">
        <v>6123</v>
      </c>
      <c r="BB92" s="61">
        <v>5717</v>
      </c>
      <c r="BC92" s="61">
        <v>6679</v>
      </c>
      <c r="BD92" s="61">
        <v>7616</v>
      </c>
      <c r="BE92" s="61">
        <v>8877</v>
      </c>
      <c r="BF92" s="61">
        <v>8870</v>
      </c>
      <c r="BG92" s="61">
        <v>6679</v>
      </c>
      <c r="BH92" s="61">
        <v>14654</v>
      </c>
      <c r="BI92" s="61">
        <v>8310</v>
      </c>
      <c r="BJ92" s="61">
        <v>15587</v>
      </c>
      <c r="BK92" s="61">
        <v>10050</v>
      </c>
      <c r="BL92" s="61">
        <v>17788</v>
      </c>
      <c r="BM92" s="61">
        <v>20106</v>
      </c>
      <c r="BN92" s="61">
        <v>25606</v>
      </c>
      <c r="BO92" s="61">
        <v>13006</v>
      </c>
      <c r="BP92" s="61">
        <v>29759</v>
      </c>
      <c r="BQ92" s="61">
        <v>24079</v>
      </c>
      <c r="BR92" s="61">
        <v>28846</v>
      </c>
      <c r="BS92" s="61">
        <v>19576</v>
      </c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  <c r="CP92" s="61"/>
      <c r="CQ92" s="61"/>
      <c r="CR92" s="61"/>
      <c r="CS92" s="61"/>
    </row>
    <row r="93" spans="1:97" s="17" customFormat="1" ht="13" customHeight="1">
      <c r="A93" s="75"/>
      <c r="B93" s="45" t="s">
        <v>210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1196</v>
      </c>
      <c r="AR93" s="61">
        <v>1247</v>
      </c>
      <c r="AS93" s="61">
        <v>1256</v>
      </c>
      <c r="AT93" s="61">
        <v>1256</v>
      </c>
      <c r="AU93" s="61">
        <v>1353</v>
      </c>
      <c r="AV93" s="61">
        <v>1317</v>
      </c>
      <c r="AW93" s="61">
        <v>1511</v>
      </c>
      <c r="AX93" s="61">
        <v>1334</v>
      </c>
      <c r="AY93" s="61">
        <v>1142</v>
      </c>
      <c r="AZ93" s="61">
        <v>1251</v>
      </c>
      <c r="BA93" s="61">
        <v>1324</v>
      </c>
      <c r="BB93" s="61">
        <v>1399</v>
      </c>
      <c r="BC93" s="61">
        <v>950</v>
      </c>
      <c r="BD93" s="61">
        <v>1216</v>
      </c>
      <c r="BE93" s="61">
        <v>1306</v>
      </c>
      <c r="BF93" s="61">
        <v>1280</v>
      </c>
      <c r="BG93" s="61">
        <v>950</v>
      </c>
      <c r="BH93" s="61">
        <v>617</v>
      </c>
      <c r="BI93" s="61">
        <f>5640+583</f>
        <v>6223</v>
      </c>
      <c r="BJ93" s="61">
        <v>762</v>
      </c>
      <c r="BK93" s="61">
        <v>682</v>
      </c>
      <c r="BL93" s="61">
        <v>699</v>
      </c>
      <c r="BM93" s="61">
        <v>613</v>
      </c>
      <c r="BN93" s="61">
        <v>742</v>
      </c>
      <c r="BO93" s="61">
        <v>784</v>
      </c>
      <c r="BP93" s="61">
        <v>763</v>
      </c>
      <c r="BQ93" s="61">
        <v>793</v>
      </c>
      <c r="BR93" s="61">
        <v>903</v>
      </c>
      <c r="BS93" s="61">
        <v>836</v>
      </c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  <c r="CP93" s="61"/>
      <c r="CQ93" s="61"/>
      <c r="CR93" s="61"/>
      <c r="CS93" s="61"/>
    </row>
    <row r="94" spans="1:97" s="17" customFormat="1" ht="13" customHeight="1">
      <c r="A94" s="75"/>
      <c r="B94" s="45" t="s">
        <v>211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44238</v>
      </c>
      <c r="AR94" s="61">
        <v>49081</v>
      </c>
      <c r="AS94" s="61">
        <v>47512</v>
      </c>
      <c r="AT94" s="61">
        <v>51839</v>
      </c>
      <c r="AU94" s="61">
        <v>47319</v>
      </c>
      <c r="AV94" s="61">
        <v>53085</v>
      </c>
      <c r="AW94" s="61">
        <v>52953</v>
      </c>
      <c r="AX94" s="61">
        <v>57593</v>
      </c>
      <c r="AY94" s="61">
        <v>54399</v>
      </c>
      <c r="AZ94" s="61">
        <v>60054</v>
      </c>
      <c r="BA94" s="61">
        <v>59573</v>
      </c>
      <c r="BB94" s="61">
        <v>63325</v>
      </c>
      <c r="BC94" s="61">
        <v>66550</v>
      </c>
      <c r="BD94" s="61">
        <v>65559</v>
      </c>
      <c r="BE94" s="61">
        <v>66112</v>
      </c>
      <c r="BF94" s="61">
        <v>70746</v>
      </c>
      <c r="BG94" s="61">
        <v>66550</v>
      </c>
      <c r="BH94" s="61">
        <v>74452</v>
      </c>
      <c r="BI94" s="61">
        <v>76680</v>
      </c>
      <c r="BJ94" s="61">
        <v>83486</v>
      </c>
      <c r="BK94" s="61">
        <v>79874</v>
      </c>
      <c r="BL94" s="61">
        <v>90473</v>
      </c>
      <c r="BM94" s="61">
        <v>92991</v>
      </c>
      <c r="BN94" s="61">
        <v>106561</v>
      </c>
      <c r="BO94" s="61">
        <v>98911</v>
      </c>
      <c r="BP94" s="61">
        <v>112522</v>
      </c>
      <c r="BQ94" s="61">
        <v>120522</v>
      </c>
      <c r="BR94" s="61">
        <v>143486</v>
      </c>
      <c r="BS94" s="61">
        <v>138540</v>
      </c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  <c r="CP94" s="61"/>
      <c r="CQ94" s="61"/>
      <c r="CR94" s="61"/>
      <c r="CS94" s="61"/>
    </row>
    <row r="95" spans="1:97" s="17" customFormat="1" ht="13" customHeight="1">
      <c r="A95" s="75"/>
      <c r="B95" s="45" t="s">
        <v>212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 t="shared" ref="AQ95:AT95" si="223">SUM(AQ88:AQ94)</f>
        <v>93558</v>
      </c>
      <c r="AR95" s="61">
        <f t="shared" si="223"/>
        <v>103248</v>
      </c>
      <c r="AS95" s="61">
        <f t="shared" si="223"/>
        <v>101895</v>
      </c>
      <c r="AT95" s="61">
        <f t="shared" si="223"/>
        <v>110769</v>
      </c>
      <c r="AU95" s="61">
        <f t="shared" ref="AU95:AX95" si="224">SUM(AU88:AU94)</f>
        <v>110135</v>
      </c>
      <c r="AV95" s="61">
        <f t="shared" si="224"/>
        <v>117909</v>
      </c>
      <c r="AW95" s="61">
        <f t="shared" si="224"/>
        <v>124908</v>
      </c>
      <c r="AX95" s="61">
        <f t="shared" si="224"/>
        <v>125612</v>
      </c>
      <c r="AY95" s="61">
        <f t="shared" ref="AY95:BB95" si="225">SUM(AY88:AY94)</f>
        <v>126256</v>
      </c>
      <c r="AZ95" s="61">
        <f t="shared" si="225"/>
        <v>136121</v>
      </c>
      <c r="BA95" s="61">
        <f t="shared" si="225"/>
        <v>139947</v>
      </c>
      <c r="BB95" s="61">
        <f t="shared" si="225"/>
        <v>144922</v>
      </c>
      <c r="BC95" s="61">
        <f t="shared" ref="BC95:BS95" si="226">SUM(BC88:BC94)</f>
        <v>154109</v>
      </c>
      <c r="BD95" s="61">
        <f t="shared" si="226"/>
        <v>158095</v>
      </c>
      <c r="BE95" s="61">
        <f t="shared" si="226"/>
        <v>174084</v>
      </c>
      <c r="BF95" s="61">
        <f t="shared" si="226"/>
        <v>194508</v>
      </c>
      <c r="BG95" s="61">
        <f t="shared" si="226"/>
        <v>197136</v>
      </c>
      <c r="BH95" s="61">
        <f t="shared" si="226"/>
        <v>218928</v>
      </c>
      <c r="BI95" s="61">
        <f t="shared" si="226"/>
        <v>242836</v>
      </c>
      <c r="BJ95" s="61">
        <f t="shared" si="226"/>
        <v>241257</v>
      </c>
      <c r="BK95" s="61">
        <f t="shared" si="226"/>
        <v>250025</v>
      </c>
      <c r="BL95" s="61">
        <f t="shared" si="226"/>
        <v>280753</v>
      </c>
      <c r="BM95" s="61">
        <f t="shared" si="226"/>
        <v>300101</v>
      </c>
      <c r="BN95" s="61">
        <f t="shared" si="226"/>
        <v>314486</v>
      </c>
      <c r="BO95" s="61">
        <f t="shared" si="226"/>
        <v>298921</v>
      </c>
      <c r="BP95" s="61">
        <f t="shared" si="226"/>
        <v>369383</v>
      </c>
      <c r="BQ95" s="61">
        <f t="shared" si="226"/>
        <v>397441</v>
      </c>
      <c r="BR95" s="61">
        <f t="shared" si="226"/>
        <v>465795</v>
      </c>
      <c r="BS95" s="61">
        <f t="shared" si="226"/>
        <v>489162</v>
      </c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  <c r="CP95" s="61"/>
      <c r="CQ95" s="61"/>
      <c r="CR95" s="61"/>
      <c r="CS95" s="61"/>
    </row>
    <row r="96" spans="1:97" s="17" customFormat="1" ht="13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  <c r="CP96" s="61"/>
      <c r="CQ96" s="61"/>
      <c r="CR96" s="61"/>
      <c r="CS96" s="61"/>
    </row>
    <row r="97" spans="1:97" s="17" customFormat="1" ht="13" customHeight="1">
      <c r="A97" s="75"/>
      <c r="B97" s="45" t="s">
        <v>299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f t="shared" ref="AQ97:AT97" si="227">+AQ58</f>
        <v>10751</v>
      </c>
      <c r="AR97" s="61">
        <f t="shared" si="227"/>
        <v>10343</v>
      </c>
      <c r="AS97" s="61">
        <f t="shared" si="227"/>
        <v>9037</v>
      </c>
      <c r="AT97" s="61">
        <f t="shared" si="227"/>
        <v>8497</v>
      </c>
      <c r="AU97" s="61">
        <f t="shared" ref="AU97:BJ97" si="228">+AU58</f>
        <v>10445</v>
      </c>
      <c r="AV97" s="61">
        <f t="shared" si="228"/>
        <v>9595</v>
      </c>
      <c r="AW97" s="61">
        <f t="shared" si="228"/>
        <v>10194</v>
      </c>
      <c r="AX97" s="61">
        <f t="shared" si="228"/>
        <v>8717</v>
      </c>
      <c r="AY97" s="61">
        <f t="shared" si="228"/>
        <v>11897</v>
      </c>
      <c r="AZ97" s="61">
        <f t="shared" si="228"/>
        <v>10625</v>
      </c>
      <c r="BA97" s="61">
        <f t="shared" si="228"/>
        <v>10298</v>
      </c>
      <c r="BB97" s="61">
        <f t="shared" si="228"/>
        <v>9318</v>
      </c>
      <c r="BC97" s="61">
        <f t="shared" si="228"/>
        <v>12623</v>
      </c>
      <c r="BD97" s="61">
        <f t="shared" si="228"/>
        <v>12123</v>
      </c>
      <c r="BE97" s="61">
        <f t="shared" si="228"/>
        <v>12119</v>
      </c>
      <c r="BF97" s="61">
        <f t="shared" si="228"/>
        <v>10892</v>
      </c>
      <c r="BG97" s="61">
        <f t="shared" si="228"/>
        <v>14210</v>
      </c>
      <c r="BH97" s="61">
        <f t="shared" si="228"/>
        <v>13318</v>
      </c>
      <c r="BI97" s="61">
        <f t="shared" si="228"/>
        <v>14405</v>
      </c>
      <c r="BJ97" s="61">
        <f t="shared" si="228"/>
        <v>13592</v>
      </c>
      <c r="BK97" s="61">
        <f t="shared" ref="BK97:BQ97" si="229">+BK58</f>
        <v>19814</v>
      </c>
      <c r="BL97" s="61">
        <f t="shared" si="229"/>
        <v>19428</v>
      </c>
      <c r="BM97" s="61">
        <f t="shared" si="229"/>
        <v>22478</v>
      </c>
      <c r="BN97" s="61">
        <f t="shared" si="229"/>
        <v>21963</v>
      </c>
      <c r="BO97" s="61">
        <f t="shared" si="229"/>
        <v>25407</v>
      </c>
      <c r="BP97" s="61">
        <f t="shared" si="229"/>
        <v>20050</v>
      </c>
      <c r="BQ97" s="61">
        <f t="shared" si="229"/>
        <v>27301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  <c r="CP97" s="61"/>
      <c r="CQ97" s="61"/>
      <c r="CR97" s="61"/>
      <c r="CS97" s="61"/>
    </row>
    <row r="98" spans="1:97" s="17" customFormat="1" ht="13" customHeight="1">
      <c r="A98" s="75"/>
      <c r="B98" s="45" t="s">
        <v>298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10751</v>
      </c>
      <c r="AR98" s="61">
        <f>21094-AQ98</f>
        <v>10343</v>
      </c>
      <c r="AS98" s="61">
        <f>30131-AR98-AQ98</f>
        <v>9037</v>
      </c>
      <c r="AT98" s="61">
        <f>38628-AS98-AR98-AQ98</f>
        <v>8497</v>
      </c>
      <c r="AU98" s="61">
        <v>10445</v>
      </c>
      <c r="AV98" s="61">
        <f>20040-AU98</f>
        <v>9595</v>
      </c>
      <c r="AW98" s="61">
        <f>30234-AV98-AU98</f>
        <v>10194</v>
      </c>
      <c r="AX98" s="61">
        <f>38951-AW98-AV98-AU98</f>
        <v>8717</v>
      </c>
      <c r="AY98" s="61">
        <v>11897</v>
      </c>
      <c r="AZ98" s="61">
        <f>22522-AY98</f>
        <v>10625</v>
      </c>
      <c r="BA98" s="61">
        <f>32820-AZ98-AY98</f>
        <v>10298</v>
      </c>
      <c r="BB98" s="61">
        <f>42138-BA98-AZ98-AY98</f>
        <v>9318</v>
      </c>
      <c r="BC98" s="61">
        <v>12623</v>
      </c>
      <c r="BD98" s="61">
        <f>24746-BC98</f>
        <v>12123</v>
      </c>
      <c r="BE98" s="61">
        <f>36865-BD98-BC98</f>
        <v>12119</v>
      </c>
      <c r="BF98" s="61">
        <f>47757-BE98-BD98-BC98</f>
        <v>10892</v>
      </c>
      <c r="BG98" s="61">
        <v>14210</v>
      </c>
      <c r="BH98" s="61">
        <f>27528-BG98</f>
        <v>13318</v>
      </c>
      <c r="BI98" s="61">
        <f>41933-BH98-BG98</f>
        <v>14405</v>
      </c>
      <c r="BJ98" s="61">
        <f>55525-BI98-BH98-BG98</f>
        <v>13592</v>
      </c>
      <c r="BK98" s="61">
        <v>19814</v>
      </c>
      <c r="BL98" s="61">
        <f>39242-BK98</f>
        <v>19428</v>
      </c>
      <c r="BM98" s="61">
        <f>61720-BL98-BK98</f>
        <v>22478</v>
      </c>
      <c r="BN98" s="61">
        <f>83683-BM98-BL98-BK98</f>
        <v>21963</v>
      </c>
      <c r="BO98" s="61">
        <v>25407</v>
      </c>
      <c r="BP98" s="61">
        <f>45457-BO98</f>
        <v>20050</v>
      </c>
      <c r="BQ98" s="61">
        <f>72758-BP98-BO98</f>
        <v>27301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  <c r="CP98" s="61"/>
      <c r="CQ98" s="61"/>
      <c r="CR98" s="61"/>
      <c r="CS98" s="61"/>
    </row>
    <row r="99" spans="1:97" s="17" customFormat="1" ht="13" customHeight="1">
      <c r="A99" s="75"/>
      <c r="B99" s="45" t="s">
        <v>301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2858</v>
      </c>
      <c r="AR99" s="61">
        <f>5013-AQ99</f>
        <v>2155</v>
      </c>
      <c r="AS99" s="61">
        <f>7114-AR99-AQ99</f>
        <v>2101</v>
      </c>
      <c r="AT99" s="61">
        <f>8987-AS99-AR99-AQ99</f>
        <v>1873</v>
      </c>
      <c r="AU99" s="61">
        <v>2777</v>
      </c>
      <c r="AV99" s="61">
        <f>5327-AU99</f>
        <v>2550</v>
      </c>
      <c r="AW99" s="61">
        <f>7240-AV99-AU99</f>
        <v>1913</v>
      </c>
      <c r="AX99" s="61">
        <f>9602-AW99-AV99-AU99</f>
        <v>2362</v>
      </c>
      <c r="AY99" s="61">
        <v>3124</v>
      </c>
      <c r="AZ99" s="61">
        <f>5915-AY99</f>
        <v>2791</v>
      </c>
      <c r="BA99" s="61">
        <f>8308-AZ99-AY99</f>
        <v>2393</v>
      </c>
      <c r="BB99" s="61">
        <f>10992-BA99-AZ99-AY99</f>
        <v>2684</v>
      </c>
      <c r="BC99" s="61">
        <v>3315</v>
      </c>
      <c r="BD99" s="61">
        <f>6109-BC99</f>
        <v>2794</v>
      </c>
      <c r="BE99" s="61">
        <f>9102-BD99-BC99</f>
        <v>2993</v>
      </c>
      <c r="BF99" s="61">
        <f>11323-BE99-BD99-BC99</f>
        <v>2221</v>
      </c>
      <c r="BG99" s="61">
        <v>3709</v>
      </c>
      <c r="BH99" s="61">
        <f>7186-BG99</f>
        <v>3477</v>
      </c>
      <c r="BI99" s="61">
        <f>10813-BH99-BG99</f>
        <v>3627</v>
      </c>
      <c r="BJ99" s="61">
        <f>13537-BI99-BH99-BG99</f>
        <v>2724</v>
      </c>
      <c r="BK99" s="61">
        <v>4923</v>
      </c>
      <c r="BL99" s="61">
        <f>9749-BK99</f>
        <v>4826</v>
      </c>
      <c r="BM99" s="61">
        <f>15334-BL99-BK99</f>
        <v>5585</v>
      </c>
      <c r="BN99" s="61">
        <f>20991-BM99-BL99-BK99</f>
        <v>5657</v>
      </c>
      <c r="BO99" s="61">
        <v>6511</v>
      </c>
      <c r="BP99" s="61">
        <f>11793-BO99</f>
        <v>5282</v>
      </c>
      <c r="BQ99" s="61">
        <f>18876-BP99-BO99</f>
        <v>7083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  <c r="CP99" s="61"/>
      <c r="CQ99" s="61"/>
      <c r="CR99" s="61"/>
      <c r="CS99" s="61"/>
    </row>
    <row r="100" spans="1:97" s="17" customFormat="1" ht="13" customHeight="1">
      <c r="A100" s="75"/>
      <c r="B100" s="45" t="s">
        <v>306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61">
        <v>732</v>
      </c>
      <c r="AR100" s="61">
        <f>1500-AQ100</f>
        <v>768</v>
      </c>
      <c r="AS100" s="61">
        <f>2283-AR100-AQ100</f>
        <v>783</v>
      </c>
      <c r="AT100" s="61">
        <f>3925-AS100-AR100-AQ100</f>
        <v>1642</v>
      </c>
      <c r="AU100" s="61">
        <v>1058</v>
      </c>
      <c r="AV100" s="61">
        <f>2168-AU100</f>
        <v>1110</v>
      </c>
      <c r="AW100" s="61">
        <f>4263-AV100-AU100</f>
        <v>2095</v>
      </c>
      <c r="AX100" s="61">
        <f>5661-AW100-AV100-AU100</f>
        <v>1398</v>
      </c>
      <c r="AY100" s="61">
        <v>1086</v>
      </c>
      <c r="AZ100" s="61">
        <f>2244-AY100</f>
        <v>1158</v>
      </c>
      <c r="BA100" s="61">
        <f>4374-AZ100-AY100</f>
        <v>2130</v>
      </c>
      <c r="BB100" s="61">
        <f>5753-BA100-AZ100-AY100</f>
        <v>1379</v>
      </c>
      <c r="BC100" s="61">
        <v>1377</v>
      </c>
      <c r="BD100" s="61">
        <f>2594-BC100</f>
        <v>1217</v>
      </c>
      <c r="BE100" s="61">
        <f>3943-BD100-BC100</f>
        <v>1349</v>
      </c>
      <c r="BF100" s="61">
        <f>6025-BE100-BD100-BC100</f>
        <v>2082</v>
      </c>
      <c r="BG100" s="61">
        <v>1650</v>
      </c>
      <c r="BH100" s="61">
        <f>3286-BG100</f>
        <v>1636</v>
      </c>
      <c r="BI100" s="61">
        <f>5327-BH100-BG100</f>
        <v>2041</v>
      </c>
      <c r="BJ100" s="61">
        <f>7362-BI100-BH100-BG100</f>
        <v>2035</v>
      </c>
      <c r="BK100" s="61">
        <v>1719</v>
      </c>
      <c r="BL100" s="61">
        <f>3896-BK100</f>
        <v>2177</v>
      </c>
      <c r="BM100" s="61">
        <f>6421-BL100-BK100</f>
        <v>2525</v>
      </c>
      <c r="BN100" s="61">
        <f>9413-BM100-BL100-BK100</f>
        <v>2992</v>
      </c>
      <c r="BO100" s="61">
        <v>2914</v>
      </c>
      <c r="BP100" s="61">
        <f>11759-BP101</f>
        <v>580</v>
      </c>
      <c r="BQ100" s="61">
        <f>13909-BP100-BO100</f>
        <v>10415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  <c r="CP100" s="61"/>
      <c r="CQ100" s="61"/>
      <c r="CR100" s="61"/>
      <c r="CS100" s="61"/>
    </row>
    <row r="101" spans="1:97" s="17" customFormat="1" ht="13" customHeight="1">
      <c r="A101" s="75"/>
      <c r="B101" s="45" t="s">
        <v>305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>-122-699</f>
        <v>-821</v>
      </c>
      <c r="AR101" s="61">
        <f>3557-AQ101-122</f>
        <v>4256</v>
      </c>
      <c r="AS101" s="61">
        <f>-122+4739-AR101-AQ101</f>
        <v>1182</v>
      </c>
      <c r="AT101" s="61">
        <f>6098-AS101-AR101-AQ101</f>
        <v>1481</v>
      </c>
      <c r="AU101" s="61">
        <v>2249</v>
      </c>
      <c r="AV101" s="61">
        <f>5548-AU101</f>
        <v>3299</v>
      </c>
      <c r="AW101" s="61">
        <f>7139-AV101-AU101</f>
        <v>1591</v>
      </c>
      <c r="AX101" s="61">
        <f>7032-AW101-AV101-AU101</f>
        <v>-107</v>
      </c>
      <c r="AY101" s="61">
        <v>5998</v>
      </c>
      <c r="AZ101" s="61">
        <f>9139-AY101</f>
        <v>3141</v>
      </c>
      <c r="BA101" s="61">
        <f>13508-AZ101-AY101</f>
        <v>4369</v>
      </c>
      <c r="BB101" s="61">
        <f>7849-BA101-AZ101-AY101</f>
        <v>-5659</v>
      </c>
      <c r="BC101" s="61">
        <v>1034</v>
      </c>
      <c r="BD101" s="61">
        <f>9172-BC101</f>
        <v>8138</v>
      </c>
      <c r="BE101" s="61">
        <f>14647-BD101-BC101</f>
        <v>5475</v>
      </c>
      <c r="BF101" s="61">
        <f>13009-BE101-BD101-BC101</f>
        <v>-1638</v>
      </c>
      <c r="BG101" s="61">
        <v>7388</v>
      </c>
      <c r="BH101" s="61">
        <f>11805-BG101</f>
        <v>4417</v>
      </c>
      <c r="BI101" s="61">
        <f>28707-BH101-BG101</f>
        <v>16902</v>
      </c>
      <c r="BJ101" s="61">
        <f>22310-BI101-BH101-BG101</f>
        <v>-6397</v>
      </c>
      <c r="BK101" s="61">
        <v>20230</v>
      </c>
      <c r="BL101" s="61">
        <f>30935-BK101</f>
        <v>10705</v>
      </c>
      <c r="BM101" s="61">
        <f>32922-BL101-BK101</f>
        <v>1987</v>
      </c>
      <c r="BN101" s="61">
        <f>32382-BM101-BL101-BK101</f>
        <v>-540</v>
      </c>
      <c r="BO101" s="61">
        <v>118</v>
      </c>
      <c r="BP101" s="61">
        <f>11297-BO101</f>
        <v>11179</v>
      </c>
      <c r="BQ101" s="61">
        <f>30109-BP101-BO101</f>
        <v>18812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  <c r="CP101" s="61"/>
      <c r="CQ101" s="61"/>
      <c r="CR101" s="61"/>
      <c r="CS101" s="61"/>
    </row>
    <row r="102" spans="1:97" s="17" customFormat="1" ht="13" customHeight="1">
      <c r="A102" s="75"/>
      <c r="B102" s="45" t="s">
        <v>304</v>
      </c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>
        <v>644</v>
      </c>
      <c r="AR102" s="61">
        <f>27-AQ102</f>
        <v>-617</v>
      </c>
      <c r="AS102" s="61">
        <f>-663-AR102-AQ102</f>
        <v>-690</v>
      </c>
      <c r="AT102" s="61">
        <f>-3370-AS102-AR102-AQ102</f>
        <v>-2707</v>
      </c>
      <c r="AU102" s="61">
        <v>-2128</v>
      </c>
      <c r="AV102" s="61">
        <f>-3026-AU102</f>
        <v>-898</v>
      </c>
      <c r="AW102" s="61">
        <f>-1304-AV102-AU102</f>
        <v>1722</v>
      </c>
      <c r="AX102" s="61">
        <f>-3388-AW102-AV102-AU102</f>
        <v>-2084</v>
      </c>
      <c r="AY102" s="61">
        <v>-7496</v>
      </c>
      <c r="AZ102" s="61">
        <f>-463-AY102</f>
        <v>7033</v>
      </c>
      <c r="BA102" s="61">
        <f>-384-AZ102-AY102</f>
        <v>79</v>
      </c>
      <c r="BB102" s="61">
        <f>-4353-BA102-AZ102-AY102</f>
        <v>-3969</v>
      </c>
      <c r="BC102" s="61">
        <v>-1126</v>
      </c>
      <c r="BD102" s="61">
        <f>1739-BC102</f>
        <v>2865</v>
      </c>
      <c r="BE102" s="61">
        <f>2032-BD102-BC102</f>
        <v>293</v>
      </c>
      <c r="BF102" s="61">
        <f>-8656-BE102-BD102-BC102</f>
        <v>-10688</v>
      </c>
      <c r="BG102" s="61">
        <v>1893</v>
      </c>
      <c r="BH102" s="61">
        <f>5982-BG102</f>
        <v>4089</v>
      </c>
      <c r="BI102" s="61">
        <f>-5028-BH102-BG102</f>
        <v>-11010</v>
      </c>
      <c r="BJ102" s="61">
        <f>-5336-BI102-BH102-BG102</f>
        <v>-308</v>
      </c>
      <c r="BK102" s="61">
        <v>-10216</v>
      </c>
      <c r="BL102" s="61">
        <f>-14231-BK102</f>
        <v>-4015</v>
      </c>
      <c r="BM102" s="61">
        <f>-2562-BL102-BK102</f>
        <v>11669</v>
      </c>
      <c r="BN102" s="61">
        <f>-12245-BM102-BL102-BK102</f>
        <v>-9683</v>
      </c>
      <c r="BO102" s="61">
        <v>-8852</v>
      </c>
      <c r="BP102" s="61">
        <f>249-BO102</f>
        <v>9101</v>
      </c>
      <c r="BQ102" s="61">
        <f>-11014-BP102-BO102</f>
        <v>-11263</v>
      </c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  <c r="CP102" s="61"/>
      <c r="CQ102" s="61"/>
      <c r="CR102" s="61"/>
      <c r="CS102" s="61"/>
    </row>
    <row r="103" spans="1:97" s="17" customFormat="1" ht="13" customHeight="1">
      <c r="A103" s="75"/>
      <c r="B103" s="45" t="s">
        <v>303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12</v>
      </c>
      <c r="AR103" s="61">
        <f>22-AQ103</f>
        <v>10</v>
      </c>
      <c r="AS103" s="61">
        <f>35-AR103-AQ103</f>
        <v>13</v>
      </c>
      <c r="AT103" s="61">
        <f>51-AS103-AR103-AQ103</f>
        <v>16</v>
      </c>
      <c r="AU103" s="56">
        <v>13</v>
      </c>
      <c r="AV103" s="61">
        <f>27-AU103</f>
        <v>14</v>
      </c>
      <c r="AW103" s="61">
        <f>45-AV103-AU103</f>
        <v>18</v>
      </c>
      <c r="AX103" s="61">
        <f>64-AW103-AV103-AU103</f>
        <v>19</v>
      </c>
      <c r="AY103" s="61">
        <v>17</v>
      </c>
      <c r="AZ103" s="61">
        <f>37-AY103</f>
        <v>20</v>
      </c>
      <c r="BA103" s="61">
        <f>50-AZ103-AY103</f>
        <v>13</v>
      </c>
      <c r="BB103" s="61">
        <f>100-BA103-AZ103-AY103</f>
        <v>50</v>
      </c>
      <c r="BC103" s="56">
        <v>13</v>
      </c>
      <c r="BD103" s="61">
        <f>43-BC103</f>
        <v>30</v>
      </c>
      <c r="BE103" s="61">
        <f>149-BD103-BC103</f>
        <v>106</v>
      </c>
      <c r="BF103" s="61">
        <f>241-BE103-BD103-BC103</f>
        <v>92</v>
      </c>
      <c r="BG103" s="61">
        <v>48</v>
      </c>
      <c r="BH103" s="61">
        <f>109-BG103</f>
        <v>61</v>
      </c>
      <c r="BI103" s="61">
        <f>148-BH103-BG103</f>
        <v>39</v>
      </c>
      <c r="BJ103" s="61">
        <f>276-BI103-BH103-BG103</f>
        <v>128</v>
      </c>
      <c r="BK103" s="61">
        <v>188</v>
      </c>
      <c r="BL103" s="61">
        <f>409-BK103</f>
        <v>221</v>
      </c>
      <c r="BM103" s="61">
        <f>699-BL103-BK103</f>
        <v>290</v>
      </c>
      <c r="BN103" s="61">
        <f>1072-BM103-BL103-BK103</f>
        <v>373</v>
      </c>
      <c r="BO103" s="61">
        <v>480</v>
      </c>
      <c r="BP103" s="61">
        <f>547-BO103</f>
        <v>67</v>
      </c>
      <c r="BQ103" s="61">
        <f>1071-BP103-BO103</f>
        <v>524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  <c r="CP103" s="61"/>
      <c r="CQ103" s="61"/>
      <c r="CR103" s="61"/>
      <c r="CS103" s="61"/>
    </row>
    <row r="104" spans="1:97" s="17" customFormat="1" ht="13" customHeight="1">
      <c r="A104" s="75"/>
      <c r="B104" s="45" t="s">
        <v>302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-33</v>
      </c>
      <c r="AR104" s="61">
        <f>-45-AQ104</f>
        <v>-12</v>
      </c>
      <c r="AS104" s="61">
        <f>-64-AR104-AQ104</f>
        <v>-19</v>
      </c>
      <c r="AT104" s="61">
        <f>-89-AS104-AR104-AQ104</f>
        <v>-25</v>
      </c>
      <c r="AU104" s="61">
        <v>-43</v>
      </c>
      <c r="AV104" s="61">
        <f>-84-AU104</f>
        <v>-41</v>
      </c>
      <c r="AW104" s="61">
        <f>-148-AV104-AU104</f>
        <v>-64</v>
      </c>
      <c r="AX104" s="61">
        <f>-204-AW104-AV104-AU104</f>
        <v>-56</v>
      </c>
      <c r="AY104" s="61">
        <v>-112</v>
      </c>
      <c r="AZ104" s="61">
        <f>-116-AY104</f>
        <v>-4</v>
      </c>
      <c r="BA104" s="61">
        <f>-182-AZ104-AY104</f>
        <v>-66</v>
      </c>
      <c r="BB104" s="61">
        <f>-422-BA104-AZ104-AY104</f>
        <v>-240</v>
      </c>
      <c r="BC104" s="61">
        <v>-50</v>
      </c>
      <c r="BD104" s="61">
        <f>-85-BC104</f>
        <v>-35</v>
      </c>
      <c r="BE104" s="61">
        <f>-141-BD104-BC104</f>
        <v>-56</v>
      </c>
      <c r="BF104" s="61">
        <f>-261-BE104-BD104-BC104</f>
        <v>-120</v>
      </c>
      <c r="BG104" s="61">
        <v>-52</v>
      </c>
      <c r="BH104" s="61">
        <f>-120-BG104</f>
        <v>-68</v>
      </c>
      <c r="BI104" s="61">
        <f>-186-BH104-BG104</f>
        <v>-66</v>
      </c>
      <c r="BJ104" s="61">
        <f>-272-BI104-BH104-BG104</f>
        <v>-86</v>
      </c>
      <c r="BK104" s="61">
        <v>-165</v>
      </c>
      <c r="BL104" s="61">
        <f>-262-BK104</f>
        <v>-97</v>
      </c>
      <c r="BM104" s="61">
        <f>-351-BL104-BK104</f>
        <v>-89</v>
      </c>
      <c r="BN104" s="61">
        <f>-491-BM104-BL104-BK104</f>
        <v>-140</v>
      </c>
      <c r="BO104" s="61">
        <v>-140</v>
      </c>
      <c r="BP104" s="61">
        <f>-217-BO104</f>
        <v>-77</v>
      </c>
      <c r="BQ104" s="61">
        <f>-359-BP104-BO104</f>
        <v>-142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  <c r="CP104" s="61"/>
      <c r="CQ104" s="61"/>
      <c r="CR104" s="61"/>
      <c r="CS104" s="61"/>
    </row>
    <row r="105" spans="1:97" s="17" customFormat="1" ht="13" customHeight="1">
      <c r="A105" s="75"/>
      <c r="B105" s="45" t="s">
        <v>301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-4328</v>
      </c>
      <c r="AR105" s="61">
        <f>-5461-AQ105</f>
        <v>-1133</v>
      </c>
      <c r="AS105" s="61">
        <f>-6249-AR105-AQ105</f>
        <v>-788</v>
      </c>
      <c r="AT105" s="61">
        <f>-9614-AS105-AR105-AQ105</f>
        <v>-3365</v>
      </c>
      <c r="AU105" s="61">
        <v>-4481</v>
      </c>
      <c r="AV105" s="61">
        <f>-5071-AU105</f>
        <v>-590</v>
      </c>
      <c r="AW105" s="61">
        <f>-5852-AV105-AU105</f>
        <v>-781</v>
      </c>
      <c r="AX105" s="61">
        <f>-10936-AW105-AV105-AU105</f>
        <v>-5084</v>
      </c>
      <c r="AY105" s="61">
        <v>-4502</v>
      </c>
      <c r="AZ105" s="61">
        <f>-5005-AY105</f>
        <v>-503</v>
      </c>
      <c r="BA105" s="61">
        <f>-6715-AZ105-AY105</f>
        <v>-1710</v>
      </c>
      <c r="BB105" s="61">
        <f>-10106-BA105-AZ105-AY105</f>
        <v>-3391</v>
      </c>
      <c r="BC105" s="61">
        <v>-5931</v>
      </c>
      <c r="BD105" s="61">
        <f>-7808-BC105</f>
        <v>-1877</v>
      </c>
      <c r="BE105" s="61">
        <f>-8580-BD105-BC105</f>
        <v>-772</v>
      </c>
      <c r="BF105" s="61">
        <f>-14438-BE105-BD105-BC105</f>
        <v>-5858</v>
      </c>
      <c r="BG105" s="61">
        <v>-5260</v>
      </c>
      <c r="BH105" s="61">
        <f>-8229-BG105</f>
        <v>-2969</v>
      </c>
      <c r="BI105" s="61">
        <f>-9928-BH105-BG105</f>
        <v>-1699</v>
      </c>
      <c r="BJ105" s="61">
        <f>-14515-BI105-BH105-BG105</f>
        <v>-4587</v>
      </c>
      <c r="BK105" s="61">
        <v>-6679</v>
      </c>
      <c r="BL105" s="61">
        <f>-11347-BK105</f>
        <v>-4668</v>
      </c>
      <c r="BM105" s="61">
        <f>-14826-BL105-BK105</f>
        <v>-3479</v>
      </c>
      <c r="BN105" s="61">
        <f>-25897-BM105-BL105-BK105</f>
        <v>-11071</v>
      </c>
      <c r="BO105" s="61">
        <v>-12124</v>
      </c>
      <c r="BP105" s="61">
        <f>-16068-BO105</f>
        <v>-3944</v>
      </c>
      <c r="BQ105" s="61">
        <f>-16683-BP105-BO105</f>
        <v>-615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  <c r="CP105" s="61"/>
      <c r="CQ105" s="61"/>
      <c r="CR105" s="61"/>
      <c r="CS105" s="61"/>
    </row>
    <row r="106" spans="1:97" s="17" customFormat="1" ht="13" customHeight="1">
      <c r="A106" s="75"/>
      <c r="B106" s="45" t="s">
        <v>300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61">
        <f>SUM(AQ98:AQ105)</f>
        <v>9815</v>
      </c>
      <c r="AR106" s="61">
        <f>SUM(AR98:AR105)</f>
        <v>15770</v>
      </c>
      <c r="AS106" s="61">
        <f>SUM(AS98:AS105)</f>
        <v>11619</v>
      </c>
      <c r="AT106" s="61">
        <f>SUM(AT98:AT105)</f>
        <v>7412</v>
      </c>
      <c r="AU106" s="61">
        <f t="shared" ref="AU106:AX106" si="230">SUM(AU98:AU105)</f>
        <v>9890</v>
      </c>
      <c r="AV106" s="61">
        <f t="shared" si="230"/>
        <v>15039</v>
      </c>
      <c r="AW106" s="61">
        <f t="shared" si="230"/>
        <v>16688</v>
      </c>
      <c r="AX106" s="61">
        <f t="shared" si="230"/>
        <v>5165</v>
      </c>
      <c r="AY106" s="61">
        <f t="shared" ref="AY106:BB106" si="231">SUM(AY98:AY105)</f>
        <v>10012</v>
      </c>
      <c r="AZ106" s="61">
        <f t="shared" si="231"/>
        <v>24261</v>
      </c>
      <c r="BA106" s="61">
        <f t="shared" si="231"/>
        <v>17506</v>
      </c>
      <c r="BB106" s="61">
        <f t="shared" si="231"/>
        <v>172</v>
      </c>
      <c r="BC106" s="61">
        <f t="shared" ref="BC106:BQ106" si="232">SUM(BC98:BC105)</f>
        <v>11255</v>
      </c>
      <c r="BD106" s="61">
        <f t="shared" si="232"/>
        <v>25255</v>
      </c>
      <c r="BE106" s="61">
        <f t="shared" si="232"/>
        <v>21507</v>
      </c>
      <c r="BF106" s="61">
        <f t="shared" si="232"/>
        <v>-3017</v>
      </c>
      <c r="BG106" s="61">
        <f t="shared" si="232"/>
        <v>23586</v>
      </c>
      <c r="BH106" s="61">
        <f t="shared" si="232"/>
        <v>23961</v>
      </c>
      <c r="BI106" s="61">
        <f t="shared" si="232"/>
        <v>24239</v>
      </c>
      <c r="BJ106" s="61">
        <f t="shared" si="232"/>
        <v>7101</v>
      </c>
      <c r="BK106" s="61">
        <f t="shared" si="232"/>
        <v>29814</v>
      </c>
      <c r="BL106" s="61">
        <f t="shared" si="232"/>
        <v>28577</v>
      </c>
      <c r="BM106" s="61">
        <f t="shared" si="232"/>
        <v>40966</v>
      </c>
      <c r="BN106" s="61">
        <f t="shared" si="232"/>
        <v>9551</v>
      </c>
      <c r="BO106" s="61">
        <f t="shared" si="232"/>
        <v>14314</v>
      </c>
      <c r="BP106" s="61">
        <f t="shared" si="232"/>
        <v>42238</v>
      </c>
      <c r="BQ106" s="61">
        <f t="shared" si="232"/>
        <v>52115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  <c r="CP106" s="61"/>
      <c r="CQ106" s="61"/>
      <c r="CR106" s="61"/>
      <c r="CS106" s="61"/>
    </row>
    <row r="107" spans="1:97" s="17" customFormat="1" ht="13" customHeight="1">
      <c r="A107" s="75"/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/>
      <c r="AR107" s="61"/>
      <c r="AS107" s="61"/>
      <c r="AT107" s="61"/>
      <c r="AU107" s="61"/>
      <c r="AV107" s="61"/>
      <c r="AW107" s="61"/>
      <c r="AX107" s="61"/>
      <c r="AY107" s="61"/>
      <c r="AZ107" s="61"/>
      <c r="BA107" s="61"/>
      <c r="BB107" s="61"/>
      <c r="BC107" s="61"/>
      <c r="BD107" s="61"/>
      <c r="BE107" s="61"/>
      <c r="BF107" s="61"/>
      <c r="BG107" s="61"/>
      <c r="BH107" s="61"/>
      <c r="BI107" s="61"/>
      <c r="BJ107" s="61"/>
      <c r="BK107" s="61"/>
      <c r="BL107" s="61"/>
      <c r="BM107" s="61"/>
      <c r="BN107" s="61"/>
      <c r="BO107" s="61"/>
      <c r="BP107" s="61"/>
      <c r="BQ107" s="61"/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  <c r="CP107" s="61"/>
      <c r="CQ107" s="61"/>
      <c r="CR107" s="61"/>
      <c r="CS107" s="61"/>
    </row>
    <row r="108" spans="1:97" s="17" customFormat="1" ht="13" customHeight="1">
      <c r="A108" s="75"/>
      <c r="B108" s="45" t="s">
        <v>307</v>
      </c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>
        <v>-885</v>
      </c>
      <c r="AR108" s="61">
        <f>-1059-AQ108</f>
        <v>-174</v>
      </c>
      <c r="AS108" s="61">
        <f>-1553-AR108-AQ108</f>
        <v>-494</v>
      </c>
      <c r="AT108" s="61">
        <f>-2774-AS108-AR108-AQ108</f>
        <v>-1221</v>
      </c>
      <c r="AU108" s="61">
        <v>-393</v>
      </c>
      <c r="AV108" s="61">
        <f>-1025-AU108</f>
        <v>-632</v>
      </c>
      <c r="AW108" s="61">
        <f>-1238-AV108-AU108</f>
        <v>-213</v>
      </c>
      <c r="AX108" s="61">
        <f>-2299-AW108-AV108-AU108</f>
        <v>-1061</v>
      </c>
      <c r="AY108" s="61">
        <v>-56</v>
      </c>
      <c r="AZ108" s="61">
        <f>-184-AY108</f>
        <v>-128</v>
      </c>
      <c r="BA108" s="61">
        <f>-4869-AZ108-AY108</f>
        <v>-4685</v>
      </c>
      <c r="BB108" s="61">
        <f>-16256-BA108-AZ108-AY108</f>
        <v>-11387</v>
      </c>
      <c r="BC108" s="61">
        <v>-97</v>
      </c>
      <c r="BD108" s="61">
        <f>-272-BC108</f>
        <v>-175</v>
      </c>
      <c r="BE108" s="61">
        <f>-785-BD108-BC108</f>
        <v>-513</v>
      </c>
      <c r="BF108" s="61">
        <f>-1050-BE108-BD108-BC108</f>
        <v>-265</v>
      </c>
      <c r="BG108" s="61">
        <v>-260</v>
      </c>
      <c r="BH108" s="61">
        <f>-400-BG108</f>
        <v>-140</v>
      </c>
      <c r="BI108" s="61">
        <f>-1395-BH108-BG108</f>
        <v>-995</v>
      </c>
      <c r="BJ108" s="61">
        <f>-2607-BI108-BH108-BG108</f>
        <v>-1212</v>
      </c>
      <c r="BK108" s="61">
        <v>-108</v>
      </c>
      <c r="BL108" s="61">
        <f>-1265-BK108</f>
        <v>-1157</v>
      </c>
      <c r="BM108" s="61">
        <f>-6061-BL108-BK108</f>
        <v>-4796</v>
      </c>
      <c r="BN108" s="61">
        <f>-13090-BM108-BL108-BK108</f>
        <v>-7029</v>
      </c>
      <c r="BO108" s="61">
        <v>-535</v>
      </c>
      <c r="BP108" s="61">
        <f>-3303-BO108</f>
        <v>-2768</v>
      </c>
      <c r="BQ108" s="61">
        <f>-3688-BP108-BO108</f>
        <v>-385</v>
      </c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  <c r="CP108" s="61"/>
      <c r="CQ108" s="61"/>
      <c r="CR108" s="61"/>
      <c r="CS108" s="61"/>
    </row>
    <row r="109" spans="1:97" s="17" customFormat="1" ht="13" customHeight="1">
      <c r="A109" s="75"/>
      <c r="B109" s="45" t="s">
        <v>203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-2073</v>
      </c>
      <c r="AR109" s="61">
        <f>-4458-AQ109+1</f>
        <v>-2384</v>
      </c>
      <c r="AS109" s="61">
        <f>10-6876-AR109-AQ109</f>
        <v>-2409</v>
      </c>
      <c r="AT109" s="61">
        <f>13-9636-AS109-AR109-AQ109</f>
        <v>-2757</v>
      </c>
      <c r="AU109" s="61">
        <v>-2644</v>
      </c>
      <c r="AV109" s="61">
        <f>-4791-AU109</f>
        <v>-2147</v>
      </c>
      <c r="AW109" s="61">
        <f>2-7025-AV109-AU109</f>
        <v>-2232</v>
      </c>
      <c r="AX109" s="61">
        <f>4-8932-AW109-AV109-AU109</f>
        <v>-1905</v>
      </c>
      <c r="AY109" s="61">
        <v>-1667</v>
      </c>
      <c r="AZ109" s="61">
        <f>-2906-AY109</f>
        <v>-1239</v>
      </c>
      <c r="BA109" s="61">
        <f>-4307+3-AZ109-AY109</f>
        <v>-1398</v>
      </c>
      <c r="BB109" s="61">
        <f>7-5825-BA109-AZ109-AY109</f>
        <v>-1514</v>
      </c>
      <c r="BC109" s="61">
        <v>-1402</v>
      </c>
      <c r="BD109" s="61">
        <f>-3111-BC109</f>
        <v>-1709</v>
      </c>
      <c r="BE109" s="61">
        <f>-4286-BD109-BC109</f>
        <v>-1175</v>
      </c>
      <c r="BF109" s="61">
        <f>-6335-BE109-BD109-BC109</f>
        <v>-2049</v>
      </c>
      <c r="BG109" s="61">
        <v>-1520</v>
      </c>
      <c r="BH109" s="61">
        <f>-3955-BG109</f>
        <v>-2435</v>
      </c>
      <c r="BI109" s="61">
        <f>-7185-BH109-BG109</f>
        <v>-3230</v>
      </c>
      <c r="BJ109" s="61">
        <f>-12146-BI109-BH109-BG109</f>
        <v>-4961</v>
      </c>
      <c r="BK109" s="61">
        <v>-4693</v>
      </c>
      <c r="BL109" s="61">
        <f>-10571-BK109</f>
        <v>-5878</v>
      </c>
      <c r="BM109" s="61">
        <f>-16399-BL109-BK109</f>
        <v>-5828</v>
      </c>
      <c r="BN109" s="61">
        <f>-25806-BM109-BL109-BK109</f>
        <v>-9407</v>
      </c>
      <c r="BO109" s="61">
        <v>-8474</v>
      </c>
      <c r="BP109" s="61">
        <f>-18944-BO109</f>
        <v>-10470</v>
      </c>
      <c r="BQ109" s="61">
        <f>-31063+1-BP109-BO109</f>
        <v>-12118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  <c r="CP109" s="61"/>
      <c r="CQ109" s="61"/>
      <c r="CR109" s="61"/>
      <c r="CS109" s="61"/>
    </row>
    <row r="110" spans="1:97" s="17" customFormat="1" ht="13" customHeight="1">
      <c r="A110" s="75"/>
      <c r="B110" s="45" t="s">
        <v>432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v>0</v>
      </c>
      <c r="AR110" s="61">
        <v>0</v>
      </c>
      <c r="AS110" s="61">
        <v>0</v>
      </c>
      <c r="AT110" s="61">
        <v>0</v>
      </c>
      <c r="AU110" s="61">
        <v>0</v>
      </c>
      <c r="AV110" s="61">
        <v>0</v>
      </c>
      <c r="AW110" s="61">
        <v>0</v>
      </c>
      <c r="AX110" s="61">
        <v>-3</v>
      </c>
      <c r="AY110" s="61">
        <v>0</v>
      </c>
      <c r="AZ110" s="61">
        <v>0</v>
      </c>
      <c r="BA110" s="61">
        <v>0</v>
      </c>
      <c r="BB110" s="61">
        <v>0</v>
      </c>
      <c r="BC110" s="61">
        <v>0</v>
      </c>
      <c r="BD110" s="61">
        <v>0</v>
      </c>
      <c r="BE110" s="61">
        <v>0</v>
      </c>
      <c r="BF110" s="61">
        <f>-18283-BE110-BD110-BC110</f>
        <v>-18283</v>
      </c>
      <c r="BG110" s="61">
        <v>0</v>
      </c>
      <c r="BH110" s="61">
        <v>0</v>
      </c>
      <c r="BI110" s="61">
        <v>0</v>
      </c>
      <c r="BJ110" s="61">
        <f>-7075-BI110-BH110-BG110</f>
        <v>-7075</v>
      </c>
      <c r="BK110" s="61"/>
      <c r="BL110" s="61"/>
      <c r="BM110" s="61"/>
      <c r="BN110" s="61"/>
      <c r="BO110" s="61">
        <v>0</v>
      </c>
      <c r="BP110" s="61">
        <f>-668-BO110</f>
        <v>-668</v>
      </c>
      <c r="BQ110" s="61">
        <f>-668-BP110-BO110</f>
        <v>0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  <c r="CP110" s="61"/>
      <c r="CQ110" s="61"/>
      <c r="CR110" s="61"/>
      <c r="CS110" s="61"/>
    </row>
    <row r="111" spans="1:97" s="17" customFormat="1" ht="13" customHeight="1">
      <c r="A111" s="75"/>
      <c r="B111" s="45" t="s">
        <v>308</v>
      </c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56">
        <f>6+10+368</f>
        <v>384</v>
      </c>
      <c r="AR111" s="61">
        <f>21+10+368-AQ111</f>
        <v>15</v>
      </c>
      <c r="AS111" s="61">
        <f>368+19-6+57-AR111-AQ111</f>
        <v>39</v>
      </c>
      <c r="AT111" s="61">
        <f>178-248+368+19-AS111-AR111-AQ111</f>
        <v>-121</v>
      </c>
      <c r="AU111" s="61">
        <v>11</v>
      </c>
      <c r="AV111" s="61">
        <f>-48-6+11-AU111</f>
        <v>-54</v>
      </c>
      <c r="AW111" s="61">
        <f>-6-50-3+20-AV111-AU111</f>
        <v>4</v>
      </c>
      <c r="AX111" s="61">
        <f>148-350-97+20-AW111-AV111-AU111</f>
        <v>-240</v>
      </c>
      <c r="AY111" s="61">
        <f>-392+9</f>
        <v>-383</v>
      </c>
      <c r="AZ111" s="61">
        <f>-392+9-AY111</f>
        <v>0</v>
      </c>
      <c r="BA111" s="61">
        <f>11-392+18-AZ111-AY111</f>
        <v>20</v>
      </c>
      <c r="BB111" s="61">
        <f>12+18-392-BA111-AZ111-AY111</f>
        <v>1</v>
      </c>
      <c r="BC111" s="61">
        <f>1-4+367-2350+4</f>
        <v>-1982</v>
      </c>
      <c r="BD111" s="61">
        <f>3-4+768-3755+4-BC111</f>
        <v>-1002</v>
      </c>
      <c r="BE111" s="61">
        <f>2-4+948-6881+4-BD111-BC111</f>
        <v>-2947</v>
      </c>
      <c r="BF111" s="61">
        <f>-4-7109+1172+4-BE111-BD111-BC111</f>
        <v>-6</v>
      </c>
      <c r="BG111" s="61">
        <f>-7-1845+1725</f>
        <v>-127</v>
      </c>
      <c r="BH111" s="61">
        <f>-7-4904+3159-BG111</f>
        <v>-1625</v>
      </c>
      <c r="BI111" s="61">
        <f>-7-6610+4129-BH111-BG111</f>
        <v>-736</v>
      </c>
      <c r="BJ111" s="61">
        <f>-169-9566+6645-BI111-BH111-BG111</f>
        <v>-602</v>
      </c>
      <c r="BK111" s="61">
        <f>33-7-2354+482</f>
        <v>-1846</v>
      </c>
      <c r="BL111" s="61">
        <f>33-251-7259+3381-BK111</f>
        <v>-2250</v>
      </c>
      <c r="BM111" s="61">
        <f>33-259-12082+5593-BL111-BK111</f>
        <v>-2619</v>
      </c>
      <c r="BN111" s="61">
        <f>33-271-13018+8260-BM111-BL111-BK111</f>
        <v>1719</v>
      </c>
      <c r="BO111" s="61">
        <f>-15-1145+14125</f>
        <v>12965</v>
      </c>
      <c r="BP111" s="61">
        <f>-32-10993+17165-BO111</f>
        <v>-6825</v>
      </c>
      <c r="BQ111" s="61">
        <f>-433-19028+17200-BP111-BO111</f>
        <v>-8401</v>
      </c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  <c r="CP111" s="61"/>
      <c r="CQ111" s="61"/>
      <c r="CR111" s="61"/>
      <c r="CS111" s="61"/>
    </row>
    <row r="112" spans="1:97" s="17" customFormat="1" ht="13" customHeight="1">
      <c r="A112" s="75"/>
      <c r="B112" s="45" t="s">
        <v>309</v>
      </c>
      <c r="C112" s="61"/>
      <c r="D112" s="61"/>
      <c r="E112" s="61"/>
      <c r="F112" s="61"/>
      <c r="G112" s="61"/>
      <c r="H112" s="61"/>
      <c r="I112" s="61"/>
      <c r="J112" s="61"/>
      <c r="K112" s="61"/>
      <c r="L112" s="61"/>
      <c r="M112" s="61"/>
      <c r="N112" s="61"/>
      <c r="O112" s="61"/>
      <c r="P112" s="61"/>
      <c r="Q112" s="61"/>
      <c r="R112" s="61"/>
      <c r="S112" s="61"/>
      <c r="T112" s="61"/>
      <c r="U112" s="61"/>
      <c r="V112" s="61"/>
      <c r="W112" s="61"/>
      <c r="X112" s="61"/>
      <c r="Y112" s="61"/>
      <c r="Z112" s="61"/>
      <c r="AA112" s="61"/>
      <c r="AB112" s="61"/>
      <c r="AC112" s="61"/>
      <c r="AD112" s="61"/>
      <c r="AE112" s="61"/>
      <c r="AF112" s="61"/>
      <c r="AG112" s="61"/>
      <c r="AH112" s="61"/>
      <c r="AI112" s="61"/>
      <c r="AJ112" s="61"/>
      <c r="AK112" s="61"/>
      <c r="AL112" s="61"/>
      <c r="AM112" s="61"/>
      <c r="AN112" s="61"/>
      <c r="AO112" s="61"/>
      <c r="AP112" s="61"/>
      <c r="AQ112" s="61">
        <f t="shared" ref="AQ112:AT112" si="233">SUM(AQ108:AQ111)</f>
        <v>-2574</v>
      </c>
      <c r="AR112" s="61">
        <f t="shared" si="233"/>
        <v>-2543</v>
      </c>
      <c r="AS112" s="61">
        <f t="shared" si="233"/>
        <v>-2864</v>
      </c>
      <c r="AT112" s="61">
        <f t="shared" si="233"/>
        <v>-4099</v>
      </c>
      <c r="AU112" s="61">
        <f t="shared" ref="AU112:AX112" si="234">SUM(AU108:AU111)</f>
        <v>-3026</v>
      </c>
      <c r="AV112" s="61">
        <f t="shared" si="234"/>
        <v>-2833</v>
      </c>
      <c r="AW112" s="61">
        <f t="shared" si="234"/>
        <v>-2441</v>
      </c>
      <c r="AX112" s="61">
        <f t="shared" si="234"/>
        <v>-3209</v>
      </c>
      <c r="AY112" s="61">
        <f t="shared" ref="AY112:BB112" si="235">SUM(AY108:AY111)</f>
        <v>-2106</v>
      </c>
      <c r="AZ112" s="61">
        <f t="shared" si="235"/>
        <v>-1367</v>
      </c>
      <c r="BA112" s="61">
        <f t="shared" si="235"/>
        <v>-6063</v>
      </c>
      <c r="BB112" s="61">
        <f t="shared" si="235"/>
        <v>-12900</v>
      </c>
      <c r="BC112" s="61">
        <f t="shared" ref="BC112" si="236">SUM(BC108:BC111)</f>
        <v>-3481</v>
      </c>
      <c r="BD112" s="61">
        <f t="shared" ref="BD112" si="237">SUM(BD108:BD111)</f>
        <v>-2886</v>
      </c>
      <c r="BE112" s="61">
        <f t="shared" ref="BE112" si="238">SUM(BE108:BE111)</f>
        <v>-4635</v>
      </c>
      <c r="BF112" s="61">
        <f t="shared" ref="BF112" si="239">SUM(BF108:BF111)</f>
        <v>-20603</v>
      </c>
      <c r="BG112" s="61">
        <f t="shared" ref="BG112:BJ112" si="240">SUM(BG108:BG111)</f>
        <v>-1907</v>
      </c>
      <c r="BH112" s="61">
        <f t="shared" si="240"/>
        <v>-4200</v>
      </c>
      <c r="BI112" s="61">
        <f t="shared" si="240"/>
        <v>-4961</v>
      </c>
      <c r="BJ112" s="61">
        <f t="shared" si="240"/>
        <v>-13850</v>
      </c>
      <c r="BK112" s="61">
        <f>SUM(BK108:BK111)</f>
        <v>-6647</v>
      </c>
      <c r="BL112" s="61">
        <f>SUM(BL108:BL111)</f>
        <v>-9285</v>
      </c>
      <c r="BM112" s="61">
        <f>SUM(BM108:BM111)</f>
        <v>-13243</v>
      </c>
      <c r="BN112" s="61">
        <f>SUM(BN108:BN111)</f>
        <v>-14717</v>
      </c>
      <c r="BO112" s="61">
        <f>SUM(BO108:BO111)</f>
        <v>3956</v>
      </c>
      <c r="BP112" s="61">
        <f t="shared" ref="BP112:BQ112" si="241">SUM(BP108:BP111)</f>
        <v>-20731</v>
      </c>
      <c r="BQ112" s="61">
        <f t="shared" si="241"/>
        <v>-20904</v>
      </c>
      <c r="BR112" s="61"/>
      <c r="BS112" s="61"/>
      <c r="BT112" s="61"/>
      <c r="BU112" s="61"/>
      <c r="BV112" s="61"/>
      <c r="BW112" s="61"/>
      <c r="BX112" s="61"/>
      <c r="BY112" s="61"/>
      <c r="BZ112" s="61"/>
      <c r="CA112" s="61"/>
      <c r="CB112" s="61"/>
      <c r="CC112" s="61"/>
      <c r="CD112" s="61"/>
      <c r="CE112" s="61"/>
      <c r="CF112" s="61"/>
      <c r="CG112" s="61"/>
      <c r="CH112" s="61"/>
      <c r="CI112" s="61"/>
      <c r="CJ112" s="61"/>
      <c r="CK112" s="61"/>
      <c r="CL112" s="61"/>
      <c r="CM112" s="61"/>
      <c r="CN112" s="61"/>
      <c r="CO112" s="61"/>
      <c r="CP112" s="61"/>
      <c r="CQ112" s="61"/>
      <c r="CR112" s="61"/>
      <c r="CS112" s="61"/>
    </row>
    <row r="113" spans="1:97" s="17" customFormat="1" ht="13" customHeight="1">
      <c r="A113" s="75"/>
      <c r="C113" s="61"/>
      <c r="D113" s="61"/>
      <c r="E113" s="61"/>
      <c r="F113" s="61"/>
      <c r="G113" s="61"/>
      <c r="H113" s="61"/>
      <c r="I113" s="61"/>
      <c r="J113" s="61"/>
      <c r="K113" s="61"/>
      <c r="L113" s="61"/>
      <c r="M113" s="61"/>
      <c r="N113" s="61"/>
      <c r="O113" s="61"/>
      <c r="P113" s="61"/>
      <c r="Q113" s="61"/>
      <c r="R113" s="61"/>
      <c r="S113" s="61"/>
      <c r="T113" s="61"/>
      <c r="U113" s="61"/>
      <c r="V113" s="61"/>
      <c r="W113" s="61"/>
      <c r="X113" s="61"/>
      <c r="Y113" s="61"/>
      <c r="Z113" s="61"/>
      <c r="AA113" s="61"/>
      <c r="AB113" s="61"/>
      <c r="AC113" s="61"/>
      <c r="AD113" s="61"/>
      <c r="AE113" s="61"/>
      <c r="AF113" s="61"/>
      <c r="AG113" s="61"/>
      <c r="AH113" s="61"/>
      <c r="AI113" s="61"/>
      <c r="AJ113" s="61"/>
      <c r="AK113" s="61"/>
      <c r="AL113" s="61"/>
      <c r="AM113" s="61"/>
      <c r="AN113" s="61"/>
      <c r="AO113" s="61"/>
      <c r="AP113" s="61"/>
      <c r="AQ113" s="61"/>
      <c r="AR113" s="61"/>
      <c r="AS113" s="61"/>
      <c r="AT113" s="61"/>
      <c r="AU113" s="61"/>
      <c r="AV113" s="61"/>
      <c r="AW113" s="61"/>
      <c r="AX113" s="61"/>
      <c r="AY113" s="61"/>
      <c r="AZ113" s="61"/>
      <c r="BA113" s="61"/>
      <c r="BB113" s="61"/>
      <c r="BC113" s="61"/>
      <c r="BD113" s="61"/>
      <c r="BE113" s="61"/>
      <c r="BF113" s="61"/>
      <c r="BG113" s="61"/>
      <c r="BH113" s="61"/>
      <c r="BI113" s="61"/>
      <c r="BJ113" s="61"/>
      <c r="BK113" s="61"/>
      <c r="BL113" s="61"/>
      <c r="BM113" s="61"/>
      <c r="BN113" s="61"/>
      <c r="BO113" s="61"/>
      <c r="BP113" s="61"/>
      <c r="BQ113" s="61"/>
      <c r="BR113" s="61"/>
      <c r="BS113" s="61"/>
      <c r="BT113" s="61"/>
      <c r="BU113" s="61"/>
      <c r="BV113" s="61"/>
      <c r="BW113" s="61"/>
      <c r="BX113" s="61"/>
      <c r="BY113" s="61"/>
      <c r="BZ113" s="61"/>
      <c r="CA113" s="61"/>
      <c r="CB113" s="61"/>
      <c r="CC113" s="61"/>
      <c r="CD113" s="61"/>
      <c r="CE113" s="61"/>
      <c r="CF113" s="61"/>
      <c r="CG113" s="61"/>
      <c r="CH113" s="61"/>
      <c r="CI113" s="61"/>
      <c r="CJ113" s="61"/>
      <c r="CK113" s="61"/>
      <c r="CL113" s="61"/>
      <c r="CM113" s="61"/>
      <c r="CN113" s="61"/>
      <c r="CO113" s="61"/>
      <c r="CP113" s="61"/>
      <c r="CQ113" s="61"/>
      <c r="CR113" s="61"/>
      <c r="CS113" s="61"/>
    </row>
    <row r="114" spans="1:97" s="17" customFormat="1" ht="13" customHeight="1">
      <c r="A114" s="75"/>
      <c r="B114" s="45" t="s">
        <v>373</v>
      </c>
      <c r="C114" s="61"/>
      <c r="D114" s="61"/>
      <c r="E114" s="61"/>
      <c r="F114" s="61"/>
      <c r="G114" s="61"/>
      <c r="H114" s="61"/>
      <c r="I114" s="61"/>
      <c r="J114" s="61"/>
      <c r="K114" s="61"/>
      <c r="L114" s="61"/>
      <c r="M114" s="61"/>
      <c r="N114" s="61"/>
      <c r="O114" s="61"/>
      <c r="P114" s="61"/>
      <c r="Q114" s="61"/>
      <c r="R114" s="61"/>
      <c r="S114" s="61"/>
      <c r="T114" s="61"/>
      <c r="U114" s="61"/>
      <c r="V114" s="61"/>
      <c r="W114" s="61"/>
      <c r="X114" s="61"/>
      <c r="Y114" s="61"/>
      <c r="Z114" s="61"/>
      <c r="AA114" s="61"/>
      <c r="AB114" s="61"/>
      <c r="AC114" s="61"/>
      <c r="AD114" s="61"/>
      <c r="AE114" s="61"/>
      <c r="AF114" s="61"/>
      <c r="AG114" s="61"/>
      <c r="AH114" s="61"/>
      <c r="AI114" s="61"/>
      <c r="AJ114" s="61"/>
      <c r="AK114" s="61"/>
      <c r="AL114" s="61"/>
      <c r="AM114" s="61"/>
      <c r="AN114" s="61"/>
      <c r="AO114" s="61"/>
      <c r="AP114" s="61"/>
      <c r="AQ114" s="61">
        <v>-4334</v>
      </c>
      <c r="AR114" s="61">
        <f>-7750-AQ114</f>
        <v>-3416</v>
      </c>
      <c r="AS114" s="61">
        <f>-11321-AR114-AQ114</f>
        <v>-3571</v>
      </c>
      <c r="AT114" s="61">
        <f>-15567-AS114-AR114-AQ114</f>
        <v>-4246</v>
      </c>
      <c r="AU114" s="61">
        <v>-2949</v>
      </c>
      <c r="AV114" s="61">
        <f>-7529-AU114</f>
        <v>-4580</v>
      </c>
      <c r="AW114" s="61">
        <f>-10404-AV114-AU114</f>
        <v>-2875</v>
      </c>
      <c r="AX114" s="61">
        <f>-15334-AW114-AV114-AU114</f>
        <v>-4930</v>
      </c>
      <c r="AY114" s="61">
        <v>-2690</v>
      </c>
      <c r="AZ114" s="61">
        <f>-8211-AY114</f>
        <v>-5521</v>
      </c>
      <c r="BA114" s="61">
        <f>-11195-AZ114-AY114</f>
        <v>-2984</v>
      </c>
      <c r="BB114" s="61">
        <f>-16855-BA114-AZ114-AY114</f>
        <v>-5660</v>
      </c>
      <c r="BC114" s="61">
        <v>-2960</v>
      </c>
      <c r="BD114" s="61">
        <f>-8400-BC114</f>
        <v>-5440</v>
      </c>
      <c r="BE114" s="61">
        <f>-11935-BD114-BC114</f>
        <v>-3535</v>
      </c>
      <c r="BF114" s="61">
        <f>-19447-BE114-BD114-BC114</f>
        <v>-7512</v>
      </c>
      <c r="BG114" s="61">
        <v>-4477</v>
      </c>
      <c r="BH114" s="61">
        <f>-11927-BG114</f>
        <v>-7450</v>
      </c>
      <c r="BI114" s="61">
        <f>-16547-BH114-BG114</f>
        <v>-4620</v>
      </c>
      <c r="BJ114" s="61">
        <f>-24086-BI114-BH114-BG114</f>
        <v>-7539</v>
      </c>
      <c r="BK114" s="61">
        <v>-5199</v>
      </c>
      <c r="BL114" s="61">
        <f>-14022-BK114</f>
        <v>-8823</v>
      </c>
      <c r="BM114" s="61">
        <f>-20163-BL114-BK114</f>
        <v>-6141</v>
      </c>
      <c r="BN114" s="61">
        <f>-29924-BM114-BL114-BK114</f>
        <v>-9761</v>
      </c>
      <c r="BO114" s="61">
        <v>-2836</v>
      </c>
      <c r="BP114" s="61">
        <f>-10285-BO114</f>
        <v>-7449</v>
      </c>
      <c r="BQ114" s="61">
        <f>-12690-BP114-BO114</f>
        <v>-2405</v>
      </c>
      <c r="BR114" s="61"/>
      <c r="BS114" s="61"/>
      <c r="BT114" s="61"/>
      <c r="BU114" s="61"/>
      <c r="BV114" s="61"/>
      <c r="BW114" s="61"/>
      <c r="BX114" s="61"/>
      <c r="BY114" s="61"/>
      <c r="BZ114" s="61"/>
      <c r="CA114" s="61"/>
      <c r="CB114" s="61"/>
      <c r="CC114" s="61"/>
      <c r="CD114" s="61"/>
      <c r="CE114" s="61"/>
      <c r="CF114" s="61"/>
      <c r="CG114" s="61"/>
      <c r="CH114" s="61"/>
      <c r="CI114" s="61"/>
      <c r="CJ114" s="61"/>
      <c r="CK114" s="61"/>
      <c r="CL114" s="61"/>
      <c r="CM114" s="61"/>
      <c r="CN114" s="61"/>
      <c r="CO114" s="61"/>
      <c r="CP114" s="61"/>
      <c r="CQ114" s="61"/>
      <c r="CR114" s="61"/>
      <c r="CS114" s="61"/>
    </row>
    <row r="115" spans="1:97" s="17" customFormat="1" ht="13" customHeight="1">
      <c r="A115" s="75"/>
      <c r="B115" s="45" t="s">
        <v>312</v>
      </c>
      <c r="C115" s="61"/>
      <c r="D115" s="61"/>
      <c r="E115" s="61"/>
      <c r="F115" s="61"/>
      <c r="G115" s="61"/>
      <c r="H115" s="61"/>
      <c r="I115" s="61"/>
      <c r="J115" s="61"/>
      <c r="K115" s="61"/>
      <c r="L115" s="61"/>
      <c r="M115" s="61"/>
      <c r="N115" s="61"/>
      <c r="O115" s="61"/>
      <c r="P115" s="61"/>
      <c r="Q115" s="61"/>
      <c r="R115" s="61"/>
      <c r="S115" s="61"/>
      <c r="T115" s="61"/>
      <c r="U115" s="61"/>
      <c r="V115" s="61"/>
      <c r="W115" s="61"/>
      <c r="X115" s="61"/>
      <c r="Y115" s="61"/>
      <c r="Z115" s="61"/>
      <c r="AA115" s="61"/>
      <c r="AB115" s="61"/>
      <c r="AC115" s="61"/>
      <c r="AD115" s="61"/>
      <c r="AE115" s="61"/>
      <c r="AF115" s="61"/>
      <c r="AG115" s="61"/>
      <c r="AH115" s="61"/>
      <c r="AI115" s="61"/>
      <c r="AJ115" s="61"/>
      <c r="AK115" s="61"/>
      <c r="AL115" s="61"/>
      <c r="AM115" s="61"/>
      <c r="AN115" s="61"/>
      <c r="AO115" s="61"/>
      <c r="AP115" s="61"/>
      <c r="AQ115" s="61">
        <v>-11810</v>
      </c>
      <c r="AR115" s="61">
        <f>-11810-AQ115</f>
        <v>0</v>
      </c>
      <c r="AS115" s="61">
        <f>-19048-AR115-AQ115</f>
        <v>-7238</v>
      </c>
      <c r="AT115" s="61">
        <f>-19048-AS115-AR115-AQ115</f>
        <v>0</v>
      </c>
      <c r="AU115" s="61">
        <v>-12309</v>
      </c>
      <c r="AV115" s="61">
        <f>-12309-AU115</f>
        <v>0</v>
      </c>
      <c r="AW115" s="61">
        <f>-19409-AV115-AU115</f>
        <v>-7100</v>
      </c>
      <c r="AX115" s="61">
        <f>-19409-AW115-AV115-AU115</f>
        <v>0</v>
      </c>
      <c r="AY115" s="61">
        <v>-12551</v>
      </c>
      <c r="AZ115" s="61">
        <f>-12551-AY115</f>
        <v>0</v>
      </c>
      <c r="BA115" s="61">
        <f>-20121-AZ115-AY115</f>
        <v>-7570</v>
      </c>
      <c r="BB115" s="61">
        <f>-20121-BA115-AZ115-AY115</f>
        <v>0</v>
      </c>
      <c r="BC115" s="61">
        <v>-13495</v>
      </c>
      <c r="BD115" s="61">
        <f>-13496-BC115</f>
        <v>-1</v>
      </c>
      <c r="BE115" s="61">
        <f>-21517-BD115-BC115</f>
        <v>-8021</v>
      </c>
      <c r="BF115" s="61">
        <f>-21517-BE115-BD115-BC115</f>
        <v>0</v>
      </c>
      <c r="BG115" s="61">
        <v>-15690</v>
      </c>
      <c r="BH115" s="61">
        <f>-15690-BG115</f>
        <v>0</v>
      </c>
      <c r="BI115" s="61">
        <f>-25303-BH115-BG115</f>
        <v>-9613</v>
      </c>
      <c r="BJ115" s="61">
        <f>-25303-BI115-BH115-BG115</f>
        <v>0</v>
      </c>
      <c r="BK115" s="61">
        <v>-18337</v>
      </c>
      <c r="BL115" s="61">
        <f>-18337-BK115</f>
        <v>0</v>
      </c>
      <c r="BM115" s="61">
        <f>-31767-BL115-BK115</f>
        <v>-13430</v>
      </c>
      <c r="BN115" s="61">
        <f>-31767-BM115-BL115-BK115</f>
        <v>0</v>
      </c>
      <c r="BO115" s="61">
        <v>-28557</v>
      </c>
      <c r="BP115" s="61">
        <f>-28557-BO115</f>
        <v>0</v>
      </c>
      <c r="BQ115" s="61">
        <f>-44140-BP115-BO115</f>
        <v>-15583</v>
      </c>
      <c r="BR115" s="61"/>
      <c r="BS115" s="61"/>
      <c r="BT115" s="61"/>
      <c r="BU115" s="61"/>
      <c r="BV115" s="61"/>
      <c r="BW115" s="61"/>
      <c r="BX115" s="61"/>
      <c r="BY115" s="61"/>
      <c r="BZ115" s="61"/>
      <c r="CA115" s="61"/>
      <c r="CB115" s="61"/>
      <c r="CC115" s="61"/>
      <c r="CD115" s="61"/>
      <c r="CE115" s="61"/>
      <c r="CF115" s="61"/>
      <c r="CG115" s="61"/>
      <c r="CH115" s="61"/>
      <c r="CI115" s="61"/>
      <c r="CJ115" s="61"/>
      <c r="CK115" s="61"/>
      <c r="CL115" s="61"/>
      <c r="CM115" s="61"/>
      <c r="CN115" s="61"/>
      <c r="CO115" s="61"/>
      <c r="CP115" s="61"/>
      <c r="CQ115" s="61"/>
      <c r="CR115" s="61"/>
      <c r="CS115" s="61"/>
    </row>
    <row r="116" spans="1:97" s="17" customFormat="1" ht="13" customHeight="1">
      <c r="A116" s="75"/>
      <c r="B116" s="45" t="s">
        <v>311</v>
      </c>
      <c r="C116" s="61"/>
      <c r="D116" s="61"/>
      <c r="E116" s="61"/>
      <c r="F116" s="61"/>
      <c r="G116" s="61"/>
      <c r="H116" s="61"/>
      <c r="I116" s="61"/>
      <c r="J116" s="61"/>
      <c r="K116" s="61"/>
      <c r="L116" s="61"/>
      <c r="M116" s="61"/>
      <c r="N116" s="61"/>
      <c r="O116" s="61"/>
      <c r="P116" s="61"/>
      <c r="Q116" s="61"/>
      <c r="R116" s="61"/>
      <c r="S116" s="61"/>
      <c r="T116" s="61"/>
      <c r="U116" s="61"/>
      <c r="V116" s="61"/>
      <c r="W116" s="61"/>
      <c r="X116" s="61"/>
      <c r="Y116" s="61"/>
      <c r="Z116" s="61"/>
      <c r="AA116" s="61"/>
      <c r="AB116" s="61"/>
      <c r="AC116" s="61"/>
      <c r="AD116" s="61"/>
      <c r="AE116" s="61"/>
      <c r="AF116" s="61"/>
      <c r="AG116" s="61"/>
      <c r="AH116" s="61"/>
      <c r="AI116" s="61"/>
      <c r="AJ116" s="61"/>
      <c r="AK116" s="61"/>
      <c r="AL116" s="61"/>
      <c r="AM116" s="61"/>
      <c r="AN116" s="61"/>
      <c r="AO116" s="61"/>
      <c r="AP116" s="61"/>
      <c r="AQ116" s="61">
        <v>0</v>
      </c>
      <c r="AR116" s="61">
        <v>0</v>
      </c>
      <c r="AS116" s="61">
        <v>0</v>
      </c>
      <c r="AT116" s="61">
        <f>94-AS116-AR116-AQ116</f>
        <v>94</v>
      </c>
      <c r="AU116" s="61">
        <v>-357</v>
      </c>
      <c r="AV116" s="61">
        <f>-433-AU116</f>
        <v>-76</v>
      </c>
      <c r="AW116" s="61">
        <f>-470-AV116-AU116</f>
        <v>-37</v>
      </c>
      <c r="AX116" s="61">
        <f>-741-AW116-AV116-AU116</f>
        <v>-271</v>
      </c>
      <c r="AY116" s="61">
        <v>-420</v>
      </c>
      <c r="AZ116" s="61">
        <f>-428-AY116</f>
        <v>-8</v>
      </c>
      <c r="BA116" s="61">
        <f>-568-AZ116-AY116</f>
        <v>-140</v>
      </c>
      <c r="BB116" s="61">
        <f>-950+5682-BA116-AZ116-AY116</f>
        <v>5300</v>
      </c>
      <c r="BC116" s="61">
        <v>-349</v>
      </c>
      <c r="BD116" s="61">
        <f>9657-6072-BC116</f>
        <v>3934</v>
      </c>
      <c r="BE116" s="61">
        <f>9657-6329+82-BD116-BC116</f>
        <v>-175</v>
      </c>
      <c r="BF116" s="61">
        <f>22160-6689-BE116-BD116-BC116</f>
        <v>12061</v>
      </c>
      <c r="BG116" s="61">
        <f>11120+30-12855</f>
        <v>-1705</v>
      </c>
      <c r="BH116" s="61">
        <f>11120+30-13099-BG116</f>
        <v>-244</v>
      </c>
      <c r="BI116" s="61">
        <f>11120-13399-BH116-BG116</f>
        <v>-330</v>
      </c>
      <c r="BJ116" s="61">
        <f>11215-13623-BI116-BH116-BG116</f>
        <v>-129</v>
      </c>
      <c r="BK116" s="61">
        <v>-478</v>
      </c>
      <c r="BL116" s="61">
        <f>-851-BK116</f>
        <v>-373</v>
      </c>
      <c r="BM116" s="61">
        <f>-1112-BL116-BK116</f>
        <v>-261</v>
      </c>
      <c r="BN116" s="61">
        <f>-1467-BM116-BL116-BK116</f>
        <v>-355</v>
      </c>
      <c r="BO116" s="61">
        <v>-317</v>
      </c>
      <c r="BP116" s="61">
        <f>34513-5370-BO116</f>
        <v>29460</v>
      </c>
      <c r="BQ116" s="61">
        <f>34513+119-5902-BP116-BO116</f>
        <v>-413</v>
      </c>
      <c r="BR116" s="61"/>
      <c r="BS116" s="61"/>
      <c r="BT116" s="61"/>
      <c r="BU116" s="61"/>
      <c r="BV116" s="61"/>
      <c r="BW116" s="61"/>
      <c r="BX116" s="61"/>
      <c r="BY116" s="61"/>
      <c r="BZ116" s="61"/>
      <c r="CA116" s="61"/>
      <c r="CB116" s="61"/>
      <c r="CC116" s="61"/>
      <c r="CD116" s="61"/>
      <c r="CE116" s="61"/>
      <c r="CF116" s="61"/>
      <c r="CG116" s="61"/>
      <c r="CH116" s="61"/>
      <c r="CI116" s="61"/>
      <c r="CJ116" s="61"/>
      <c r="CK116" s="61"/>
      <c r="CL116" s="61"/>
      <c r="CM116" s="61"/>
      <c r="CN116" s="61"/>
      <c r="CO116" s="61"/>
      <c r="CP116" s="61"/>
      <c r="CQ116" s="61"/>
      <c r="CR116" s="61"/>
      <c r="CS116" s="61"/>
    </row>
    <row r="117" spans="1:97" s="17" customFormat="1" ht="13" customHeight="1">
      <c r="A117" s="75"/>
      <c r="B117" s="45" t="s">
        <v>310</v>
      </c>
      <c r="C117" s="61"/>
      <c r="D117" s="61"/>
      <c r="E117" s="61"/>
      <c r="F117" s="61"/>
      <c r="G117" s="61"/>
      <c r="H117" s="61"/>
      <c r="I117" s="61"/>
      <c r="J117" s="61"/>
      <c r="K117" s="61"/>
      <c r="L117" s="61"/>
      <c r="M117" s="61"/>
      <c r="N117" s="61"/>
      <c r="O117" s="61"/>
      <c r="P117" s="61"/>
      <c r="Q117" s="61"/>
      <c r="R117" s="61"/>
      <c r="S117" s="61"/>
      <c r="T117" s="61"/>
      <c r="U117" s="61"/>
      <c r="V117" s="61"/>
      <c r="W117" s="61"/>
      <c r="X117" s="61"/>
      <c r="Y117" s="61"/>
      <c r="Z117" s="61"/>
      <c r="AA117" s="61"/>
      <c r="AB117" s="61"/>
      <c r="AC117" s="61"/>
      <c r="AD117" s="61"/>
      <c r="AE117" s="61"/>
      <c r="AF117" s="61"/>
      <c r="AG117" s="61"/>
      <c r="AH117" s="61"/>
      <c r="AI117" s="61"/>
      <c r="AJ117" s="61"/>
      <c r="AK117" s="61"/>
      <c r="AL117" s="61"/>
      <c r="AM117" s="61"/>
      <c r="AN117" s="61"/>
      <c r="AO117" s="61"/>
      <c r="AP117" s="61"/>
      <c r="AQ117" s="56">
        <v>2007</v>
      </c>
      <c r="AR117" s="61">
        <f>0-AQ117</f>
        <v>-2007</v>
      </c>
      <c r="AS117" s="61">
        <v>0</v>
      </c>
      <c r="AT117" s="61">
        <v>0</v>
      </c>
      <c r="AU117" s="61">
        <v>2090</v>
      </c>
      <c r="AV117" s="61">
        <f>0-AU117</f>
        <v>-2090</v>
      </c>
      <c r="AW117" s="61">
        <f>0-AV117-AU117</f>
        <v>0</v>
      </c>
      <c r="AX117" s="61">
        <v>0</v>
      </c>
      <c r="AY117" s="61">
        <v>2152</v>
      </c>
      <c r="AZ117" s="61">
        <f>0-AY117</f>
        <v>-2152</v>
      </c>
      <c r="BA117" s="61">
        <f>0-AZ117-AY117</f>
        <v>0</v>
      </c>
      <c r="BB117" s="61">
        <v>0</v>
      </c>
      <c r="BC117" s="61">
        <v>2329</v>
      </c>
      <c r="BD117" s="61">
        <f>0-BC117</f>
        <v>-2329</v>
      </c>
      <c r="BE117" s="61">
        <f>0-BD117-BC117</f>
        <v>0</v>
      </c>
      <c r="BF117" s="61">
        <f>0-BE117-BD117-BC117</f>
        <v>0</v>
      </c>
      <c r="BG117" s="61">
        <v>2737</v>
      </c>
      <c r="BH117" s="61">
        <f>0-BG117</f>
        <v>-2737</v>
      </c>
      <c r="BI117" s="61">
        <v>0</v>
      </c>
      <c r="BJ117" s="61">
        <f>0-BI117-BH117-BG117</f>
        <v>0</v>
      </c>
      <c r="BK117" s="61">
        <v>3393</v>
      </c>
      <c r="BL117" s="61">
        <f>0-BK117</f>
        <v>-3393</v>
      </c>
      <c r="BM117" s="61">
        <v>0</v>
      </c>
      <c r="BN117" s="61">
        <v>0</v>
      </c>
      <c r="BO117" s="61">
        <v>5328</v>
      </c>
      <c r="BP117" s="61">
        <f>0-BO117</f>
        <v>-5328</v>
      </c>
      <c r="BQ117" s="61">
        <f>0-BP117-BO117</f>
        <v>0</v>
      </c>
      <c r="BR117" s="61"/>
      <c r="BS117" s="61"/>
      <c r="BT117" s="61"/>
      <c r="BU117" s="61"/>
      <c r="BV117" s="61"/>
      <c r="BW117" s="61"/>
      <c r="BX117" s="61"/>
      <c r="BY117" s="61"/>
      <c r="BZ117" s="61"/>
      <c r="CA117" s="61"/>
      <c r="CB117" s="61"/>
      <c r="CC117" s="61"/>
      <c r="CD117" s="61"/>
      <c r="CE117" s="61"/>
      <c r="CF117" s="61"/>
      <c r="CG117" s="61"/>
      <c r="CH117" s="61"/>
      <c r="CI117" s="61"/>
      <c r="CJ117" s="61"/>
      <c r="CK117" s="61"/>
      <c r="CL117" s="61"/>
      <c r="CM117" s="61"/>
      <c r="CN117" s="61"/>
      <c r="CO117" s="61"/>
      <c r="CP117" s="61"/>
      <c r="CQ117" s="61"/>
      <c r="CR117" s="61"/>
      <c r="CS117" s="61"/>
    </row>
    <row r="118" spans="1:97" s="17" customFormat="1" ht="13" customHeight="1">
      <c r="A118" s="75"/>
      <c r="B118" s="45" t="s">
        <v>309</v>
      </c>
      <c r="C118" s="61"/>
      <c r="D118" s="61"/>
      <c r="E118" s="61"/>
      <c r="F118" s="61"/>
      <c r="G118" s="61"/>
      <c r="H118" s="61"/>
      <c r="I118" s="61"/>
      <c r="J118" s="61"/>
      <c r="K118" s="61"/>
      <c r="L118" s="61"/>
      <c r="M118" s="61"/>
      <c r="N118" s="61"/>
      <c r="O118" s="61"/>
      <c r="P118" s="61"/>
      <c r="Q118" s="61"/>
      <c r="R118" s="61"/>
      <c r="S118" s="61"/>
      <c r="T118" s="61"/>
      <c r="U118" s="61"/>
      <c r="V118" s="61"/>
      <c r="W118" s="61"/>
      <c r="X118" s="61"/>
      <c r="Y118" s="61"/>
      <c r="Z118" s="61"/>
      <c r="AA118" s="61"/>
      <c r="AB118" s="61"/>
      <c r="AC118" s="61"/>
      <c r="AD118" s="61"/>
      <c r="AE118" s="61"/>
      <c r="AF118" s="61"/>
      <c r="AG118" s="61"/>
      <c r="AH118" s="61"/>
      <c r="AI118" s="61"/>
      <c r="AJ118" s="61"/>
      <c r="AK118" s="61"/>
      <c r="AL118" s="61"/>
      <c r="AM118" s="61"/>
      <c r="AN118" s="61"/>
      <c r="AO118" s="61"/>
      <c r="AP118" s="61"/>
      <c r="AQ118" s="61">
        <f t="shared" ref="AQ118:AT118" si="242">SUM(AQ114:AQ117)</f>
        <v>-14137</v>
      </c>
      <c r="AR118" s="61">
        <f t="shared" si="242"/>
        <v>-5423</v>
      </c>
      <c r="AS118" s="61">
        <f t="shared" si="242"/>
        <v>-10809</v>
      </c>
      <c r="AT118" s="61">
        <f t="shared" si="242"/>
        <v>-4152</v>
      </c>
      <c r="AU118" s="61">
        <f t="shared" ref="AU118:AX118" si="243">SUM(AU114:AU117)</f>
        <v>-13525</v>
      </c>
      <c r="AV118" s="61">
        <f t="shared" si="243"/>
        <v>-6746</v>
      </c>
      <c r="AW118" s="61">
        <f t="shared" si="243"/>
        <v>-10012</v>
      </c>
      <c r="AX118" s="61">
        <f t="shared" si="243"/>
        <v>-5201</v>
      </c>
      <c r="AY118" s="61">
        <f t="shared" ref="AY118:BB118" si="244">SUM(AY114:AY117)</f>
        <v>-13509</v>
      </c>
      <c r="AZ118" s="61">
        <f t="shared" si="244"/>
        <v>-7681</v>
      </c>
      <c r="BA118" s="61">
        <f t="shared" si="244"/>
        <v>-10694</v>
      </c>
      <c r="BB118" s="61">
        <f t="shared" si="244"/>
        <v>-360</v>
      </c>
      <c r="BC118" s="61">
        <f t="shared" ref="BC118:BF118" si="245">SUM(BC114:BC117)</f>
        <v>-14475</v>
      </c>
      <c r="BD118" s="61">
        <f t="shared" si="245"/>
        <v>-3836</v>
      </c>
      <c r="BE118" s="61">
        <f t="shared" si="245"/>
        <v>-11731</v>
      </c>
      <c r="BF118" s="61">
        <f t="shared" si="245"/>
        <v>4549</v>
      </c>
      <c r="BG118" s="61">
        <f t="shared" ref="BG118:BQ118" si="246">SUM(BG114:BG117)</f>
        <v>-19135</v>
      </c>
      <c r="BH118" s="61">
        <f t="shared" si="246"/>
        <v>-10431</v>
      </c>
      <c r="BI118" s="61">
        <f t="shared" si="246"/>
        <v>-14563</v>
      </c>
      <c r="BJ118" s="61">
        <f t="shared" si="246"/>
        <v>-7668</v>
      </c>
      <c r="BK118" s="61">
        <f t="shared" si="246"/>
        <v>-20621</v>
      </c>
      <c r="BL118" s="61">
        <f t="shared" si="246"/>
        <v>-12589</v>
      </c>
      <c r="BM118" s="61">
        <f t="shared" si="246"/>
        <v>-19832</v>
      </c>
      <c r="BN118" s="61">
        <f t="shared" si="246"/>
        <v>-10116</v>
      </c>
      <c r="BO118" s="61">
        <f t="shared" si="246"/>
        <v>-26382</v>
      </c>
      <c r="BP118" s="61">
        <f t="shared" si="246"/>
        <v>16683</v>
      </c>
      <c r="BQ118" s="61">
        <f t="shared" si="246"/>
        <v>-18401</v>
      </c>
      <c r="BR118" s="61"/>
      <c r="BS118" s="61"/>
      <c r="BT118" s="61"/>
      <c r="BU118" s="61"/>
      <c r="BV118" s="61"/>
      <c r="BW118" s="61"/>
      <c r="BX118" s="61"/>
      <c r="BY118" s="61"/>
      <c r="BZ118" s="61"/>
      <c r="CA118" s="61"/>
      <c r="CB118" s="61"/>
      <c r="CC118" s="61"/>
      <c r="CD118" s="61"/>
      <c r="CE118" s="61"/>
      <c r="CF118" s="61"/>
      <c r="CG118" s="61"/>
      <c r="CH118" s="61"/>
      <c r="CI118" s="61"/>
      <c r="CJ118" s="61"/>
      <c r="CK118" s="61"/>
      <c r="CL118" s="61"/>
      <c r="CM118" s="61"/>
      <c r="CN118" s="61"/>
      <c r="CO118" s="61"/>
      <c r="CP118" s="61"/>
      <c r="CQ118" s="61"/>
      <c r="CR118" s="61"/>
      <c r="CS118" s="61"/>
    </row>
    <row r="119" spans="1:97" s="17" customFormat="1" ht="13" customHeight="1">
      <c r="A119" s="75"/>
      <c r="C119" s="61"/>
      <c r="D119" s="61"/>
      <c r="E119" s="61"/>
      <c r="F119" s="61"/>
      <c r="G119" s="61"/>
      <c r="H119" s="61"/>
      <c r="I119" s="61"/>
      <c r="J119" s="61"/>
      <c r="K119" s="61"/>
      <c r="L119" s="61"/>
      <c r="M119" s="61"/>
      <c r="N119" s="61"/>
      <c r="O119" s="61"/>
      <c r="P119" s="61"/>
      <c r="Q119" s="61"/>
      <c r="R119" s="61"/>
      <c r="S119" s="61"/>
      <c r="T119" s="61"/>
      <c r="U119" s="61"/>
      <c r="V119" s="61"/>
      <c r="W119" s="61"/>
      <c r="X119" s="61"/>
      <c r="Y119" s="61"/>
      <c r="Z119" s="61"/>
      <c r="AA119" s="61"/>
      <c r="AB119" s="61"/>
      <c r="AC119" s="61"/>
      <c r="AD119" s="61"/>
      <c r="AE119" s="61"/>
      <c r="AF119" s="61"/>
      <c r="AG119" s="61"/>
      <c r="AH119" s="61"/>
      <c r="AI119" s="61"/>
      <c r="AJ119" s="61"/>
      <c r="AK119" s="61"/>
      <c r="AL119" s="61"/>
      <c r="AM119" s="61"/>
      <c r="AN119" s="61"/>
      <c r="AO119" s="61"/>
      <c r="AP119" s="61"/>
      <c r="AQ119" s="61"/>
      <c r="AR119" s="61"/>
      <c r="AS119" s="61"/>
      <c r="AT119" s="61"/>
      <c r="AU119" s="61"/>
      <c r="AV119" s="61"/>
      <c r="AW119" s="61"/>
      <c r="AX119" s="61"/>
      <c r="AY119" s="61"/>
      <c r="AZ119" s="61"/>
      <c r="BA119" s="61"/>
      <c r="BB119" s="61"/>
      <c r="BC119" s="61"/>
      <c r="BD119" s="61"/>
      <c r="BE119" s="61"/>
      <c r="BF119" s="61"/>
      <c r="BG119" s="61"/>
      <c r="BH119" s="61"/>
      <c r="BI119" s="61"/>
      <c r="BJ119" s="61"/>
      <c r="BK119" s="61"/>
      <c r="BL119" s="61"/>
      <c r="BM119" s="61"/>
      <c r="BN119" s="61"/>
      <c r="BO119" s="61"/>
      <c r="BP119" s="61"/>
      <c r="BQ119" s="61"/>
      <c r="BR119" s="61"/>
      <c r="BS119" s="61"/>
      <c r="BT119" s="61"/>
      <c r="BU119" s="61"/>
      <c r="BV119" s="61"/>
      <c r="BW119" s="61"/>
      <c r="BX119" s="61"/>
      <c r="BY119" s="61"/>
      <c r="BZ119" s="61"/>
      <c r="CA119" s="61"/>
      <c r="CB119" s="61"/>
      <c r="CC119" s="61"/>
      <c r="CD119" s="61"/>
      <c r="CE119" s="61"/>
      <c r="CF119" s="61"/>
      <c r="CG119" s="61"/>
      <c r="CH119" s="61"/>
      <c r="CI119" s="61"/>
      <c r="CJ119" s="61"/>
      <c r="CK119" s="61"/>
      <c r="CL119" s="61"/>
      <c r="CM119" s="61"/>
      <c r="CN119" s="61"/>
      <c r="CO119" s="61"/>
      <c r="CP119" s="61"/>
      <c r="CQ119" s="61"/>
      <c r="CR119" s="61"/>
      <c r="CS119" s="61"/>
    </row>
    <row r="120" spans="1:97" s="17" customFormat="1" ht="13" customHeight="1">
      <c r="A120" s="75"/>
      <c r="B120" s="45" t="s">
        <v>313</v>
      </c>
      <c r="C120" s="61"/>
      <c r="D120" s="61"/>
      <c r="E120" s="61"/>
      <c r="F120" s="61"/>
      <c r="G120" s="61"/>
      <c r="H120" s="61"/>
      <c r="I120" s="61"/>
      <c r="J120" s="61"/>
      <c r="K120" s="61"/>
      <c r="L120" s="61"/>
      <c r="M120" s="61"/>
      <c r="N120" s="61"/>
      <c r="O120" s="61"/>
      <c r="P120" s="61"/>
      <c r="Q120" s="61"/>
      <c r="R120" s="61"/>
      <c r="S120" s="61"/>
      <c r="T120" s="61"/>
      <c r="U120" s="61"/>
      <c r="V120" s="61"/>
      <c r="W120" s="61"/>
      <c r="X120" s="61"/>
      <c r="Y120" s="61"/>
      <c r="Z120" s="61"/>
      <c r="AA120" s="61"/>
      <c r="AB120" s="61"/>
      <c r="AC120" s="61"/>
      <c r="AD120" s="61"/>
      <c r="AE120" s="61"/>
      <c r="AF120" s="61"/>
      <c r="AG120" s="61"/>
      <c r="AH120" s="61"/>
      <c r="AI120" s="61"/>
      <c r="AJ120" s="61"/>
      <c r="AK120" s="61"/>
      <c r="AL120" s="61"/>
      <c r="AM120" s="61"/>
      <c r="AN120" s="61"/>
      <c r="AO120" s="61"/>
      <c r="AP120" s="61"/>
      <c r="AQ120" s="61">
        <v>23</v>
      </c>
      <c r="AR120" s="61">
        <f>81-AQ120</f>
        <v>58</v>
      </c>
      <c r="AS120" s="61">
        <f>52-AR120-AQ120</f>
        <v>-29</v>
      </c>
      <c r="AT120" s="61">
        <f>94-AS120-AR120-AQ120</f>
        <v>42</v>
      </c>
      <c r="AU120" s="61">
        <v>78</v>
      </c>
      <c r="AV120" s="61">
        <f>18-AU120</f>
        <v>-60</v>
      </c>
      <c r="AW120" s="61">
        <f>93-AV120-AU120</f>
        <v>75</v>
      </c>
      <c r="AX120" s="61">
        <f>-7-AW120-AV120-AU120</f>
        <v>-100</v>
      </c>
      <c r="AY120" s="61">
        <v>-95</v>
      </c>
      <c r="AZ120" s="61">
        <f>-170-AY120</f>
        <v>-75</v>
      </c>
      <c r="BA120" s="61">
        <f>-305-AZ120-AY120</f>
        <v>-135</v>
      </c>
      <c r="BB120" s="61">
        <f>-456-BA120-AZ120-AY120</f>
        <v>-151</v>
      </c>
      <c r="BC120" s="61">
        <v>154</v>
      </c>
      <c r="BD120" s="61">
        <f>169-BC120</f>
        <v>15</v>
      </c>
      <c r="BE120" s="61">
        <f>291-BD120-BC120</f>
        <v>122</v>
      </c>
      <c r="BF120" s="61">
        <f>591-BE120-BD120-BC120</f>
        <v>300</v>
      </c>
      <c r="BG120" s="61">
        <v>-55</v>
      </c>
      <c r="BH120" s="61">
        <f>163-BG120</f>
        <v>218</v>
      </c>
      <c r="BI120" s="61">
        <f>606-BH120-BG120</f>
        <v>443</v>
      </c>
      <c r="BJ120" s="61">
        <f>-238-BI120-BH120-BG120</f>
        <v>-844</v>
      </c>
      <c r="BK120" s="61">
        <v>-263</v>
      </c>
      <c r="BL120" s="61">
        <f>-328-BK120</f>
        <v>-65</v>
      </c>
      <c r="BM120" s="61">
        <f>90-BL120-BK120</f>
        <v>418</v>
      </c>
      <c r="BN120" s="61">
        <f>-119-BM120-BL120-BK120</f>
        <v>-209</v>
      </c>
      <c r="BO120" s="61">
        <v>44</v>
      </c>
      <c r="BP120" s="61">
        <f>86-BO120</f>
        <v>42</v>
      </c>
      <c r="BQ120" s="61">
        <f>-262-BP120-BO120</f>
        <v>-348</v>
      </c>
      <c r="BR120" s="61"/>
      <c r="BS120" s="61"/>
      <c r="BT120" s="61"/>
      <c r="BU120" s="61"/>
      <c r="BV120" s="61"/>
      <c r="BW120" s="61"/>
      <c r="BX120" s="61"/>
      <c r="BY120" s="61"/>
      <c r="BZ120" s="61"/>
      <c r="CA120" s="61"/>
      <c r="CB120" s="61"/>
      <c r="CC120" s="61"/>
      <c r="CD120" s="61"/>
      <c r="CE120" s="61"/>
      <c r="CF120" s="61"/>
      <c r="CG120" s="61"/>
      <c r="CH120" s="61"/>
      <c r="CI120" s="61"/>
      <c r="CJ120" s="61"/>
      <c r="CK120" s="61"/>
      <c r="CL120" s="61"/>
      <c r="CM120" s="61"/>
      <c r="CN120" s="61"/>
      <c r="CO120" s="61"/>
      <c r="CP120" s="61"/>
      <c r="CQ120" s="61"/>
      <c r="CR120" s="61"/>
      <c r="CS120" s="61"/>
    </row>
    <row r="121" spans="1:97" s="17" customFormat="1" ht="13" customHeight="1">
      <c r="A121" s="75"/>
      <c r="B121" s="45" t="s">
        <v>314</v>
      </c>
      <c r="C121" s="61"/>
      <c r="D121" s="61"/>
      <c r="E121" s="61"/>
      <c r="F121" s="61"/>
      <c r="G121" s="61"/>
      <c r="H121" s="61"/>
      <c r="I121" s="61"/>
      <c r="J121" s="61"/>
      <c r="K121" s="61"/>
      <c r="L121" s="61"/>
      <c r="M121" s="61"/>
      <c r="N121" s="61"/>
      <c r="O121" s="61"/>
      <c r="P121" s="61"/>
      <c r="Q121" s="61"/>
      <c r="R121" s="61"/>
      <c r="S121" s="61"/>
      <c r="T121" s="61"/>
      <c r="U121" s="61"/>
      <c r="V121" s="61"/>
      <c r="W121" s="61"/>
      <c r="X121" s="61"/>
      <c r="Y121" s="61"/>
      <c r="Z121" s="61"/>
      <c r="AA121" s="61"/>
      <c r="AB121" s="61"/>
      <c r="AC121" s="61"/>
      <c r="AD121" s="61"/>
      <c r="AE121" s="61"/>
      <c r="AF121" s="61"/>
      <c r="AG121" s="61"/>
      <c r="AH121" s="61"/>
      <c r="AI121" s="61"/>
      <c r="AJ121" s="61"/>
      <c r="AK121" s="61"/>
      <c r="AL121" s="61"/>
      <c r="AM121" s="61"/>
      <c r="AN121" s="61"/>
      <c r="AO121" s="61"/>
      <c r="AP121" s="61"/>
      <c r="AQ121" s="61">
        <f t="shared" ref="AQ121:AT121" si="247">+AQ120+AQ118+AQ112+AQ106</f>
        <v>-6873</v>
      </c>
      <c r="AR121" s="61">
        <f t="shared" si="247"/>
        <v>7862</v>
      </c>
      <c r="AS121" s="61">
        <f t="shared" si="247"/>
        <v>-2083</v>
      </c>
      <c r="AT121" s="61">
        <f t="shared" si="247"/>
        <v>-797</v>
      </c>
      <c r="AU121" s="61">
        <f t="shared" ref="AU121:AX121" si="248">+AU120+AU118+AU112+AU106</f>
        <v>-6583</v>
      </c>
      <c r="AV121" s="61">
        <f t="shared" si="248"/>
        <v>5400</v>
      </c>
      <c r="AW121" s="61">
        <f t="shared" si="248"/>
        <v>4310</v>
      </c>
      <c r="AX121" s="61">
        <f t="shared" si="248"/>
        <v>-3345</v>
      </c>
      <c r="AY121" s="61">
        <f t="shared" ref="AY121:BB121" si="249">+AY120+AY118+AY112+AY106</f>
        <v>-5698</v>
      </c>
      <c r="AZ121" s="61">
        <f t="shared" si="249"/>
        <v>15138</v>
      </c>
      <c r="BA121" s="61">
        <f t="shared" si="249"/>
        <v>614</v>
      </c>
      <c r="BB121" s="61">
        <f t="shared" si="249"/>
        <v>-13239</v>
      </c>
      <c r="BC121" s="61">
        <f t="shared" ref="BC121:BF121" si="250">+BC120+BC118+BC112+BC106</f>
        <v>-6547</v>
      </c>
      <c r="BD121" s="61">
        <f t="shared" si="250"/>
        <v>18548</v>
      </c>
      <c r="BE121" s="61">
        <f t="shared" si="250"/>
        <v>5263</v>
      </c>
      <c r="BF121" s="61">
        <f t="shared" si="250"/>
        <v>-18771</v>
      </c>
      <c r="BG121" s="61">
        <f t="shared" ref="BG121:BQ121" si="251">+BG120+BG118+BG112+BG106</f>
        <v>2489</v>
      </c>
      <c r="BH121" s="61">
        <f t="shared" si="251"/>
        <v>9548</v>
      </c>
      <c r="BI121" s="61">
        <f t="shared" si="251"/>
        <v>5158</v>
      </c>
      <c r="BJ121" s="61">
        <f t="shared" si="251"/>
        <v>-15261</v>
      </c>
      <c r="BK121" s="61">
        <f t="shared" si="251"/>
        <v>2283</v>
      </c>
      <c r="BL121" s="61">
        <f t="shared" si="251"/>
        <v>6638</v>
      </c>
      <c r="BM121" s="61">
        <f t="shared" si="251"/>
        <v>8309</v>
      </c>
      <c r="BN121" s="61">
        <f t="shared" si="251"/>
        <v>-15491</v>
      </c>
      <c r="BO121" s="61">
        <f t="shared" si="251"/>
        <v>-8068</v>
      </c>
      <c r="BP121" s="61">
        <f t="shared" si="251"/>
        <v>38232</v>
      </c>
      <c r="BQ121" s="61">
        <f t="shared" si="251"/>
        <v>12462</v>
      </c>
      <c r="BR121" s="61"/>
      <c r="BS121" s="61"/>
      <c r="BT121" s="61"/>
      <c r="BU121" s="61"/>
      <c r="BV121" s="61"/>
      <c r="BW121" s="61"/>
      <c r="BX121" s="61"/>
      <c r="BY121" s="61"/>
      <c r="BZ121" s="61"/>
      <c r="CA121" s="61"/>
      <c r="CB121" s="61"/>
      <c r="CC121" s="61"/>
      <c r="CD121" s="61"/>
      <c r="CE121" s="61"/>
      <c r="CF121" s="61"/>
      <c r="CG121" s="61"/>
      <c r="CH121" s="61"/>
      <c r="CI121" s="61"/>
      <c r="CJ121" s="61"/>
      <c r="CK121" s="61"/>
      <c r="CL121" s="61"/>
      <c r="CM121" s="61"/>
      <c r="CN121" s="61"/>
      <c r="CO121" s="61"/>
      <c r="CP121" s="61"/>
      <c r="CQ121" s="61"/>
      <c r="CR121" s="61"/>
      <c r="CS121" s="61"/>
    </row>
    <row r="122" spans="1:97" s="17" customFormat="1" ht="13" customHeight="1">
      <c r="A122" s="75"/>
      <c r="C122" s="61"/>
      <c r="D122" s="61"/>
      <c r="E122" s="61"/>
      <c r="F122" s="61"/>
      <c r="G122" s="61"/>
      <c r="H122" s="61"/>
      <c r="I122" s="61"/>
      <c r="J122" s="61"/>
      <c r="K122" s="61"/>
      <c r="L122" s="61"/>
      <c r="M122" s="61"/>
      <c r="N122" s="61"/>
      <c r="O122" s="61"/>
      <c r="P122" s="61"/>
      <c r="Q122" s="61"/>
      <c r="R122" s="61"/>
      <c r="S122" s="61"/>
      <c r="T122" s="61"/>
      <c r="U122" s="61"/>
      <c r="V122" s="61"/>
      <c r="W122" s="61"/>
      <c r="X122" s="61"/>
      <c r="Y122" s="61"/>
      <c r="Z122" s="61"/>
      <c r="AA122" s="61"/>
      <c r="AB122" s="61"/>
      <c r="AC122" s="61"/>
      <c r="AD122" s="61"/>
      <c r="AE122" s="61"/>
      <c r="AF122" s="61"/>
      <c r="AG122" s="61"/>
      <c r="AH122" s="61"/>
      <c r="AI122" s="61"/>
      <c r="AJ122" s="61"/>
      <c r="AK122" s="61"/>
      <c r="AL122" s="61"/>
      <c r="AM122" s="61"/>
      <c r="AN122" s="61"/>
      <c r="AO122" s="61"/>
      <c r="AP122" s="61"/>
      <c r="AQ122" s="61"/>
      <c r="AR122" s="61"/>
      <c r="AS122" s="61"/>
      <c r="AT122" s="61"/>
      <c r="AU122" s="61"/>
      <c r="AV122" s="61"/>
      <c r="AW122" s="61"/>
      <c r="AX122" s="61"/>
      <c r="AY122" s="61"/>
      <c r="AZ122" s="61"/>
      <c r="BA122" s="61"/>
      <c r="BB122" s="61"/>
      <c r="BC122" s="61"/>
      <c r="BD122" s="61"/>
      <c r="BE122" s="61"/>
      <c r="BF122" s="61"/>
      <c r="BG122" s="61"/>
      <c r="BH122" s="61"/>
      <c r="BI122" s="61"/>
      <c r="BJ122" s="61"/>
      <c r="BK122" s="61"/>
      <c r="BL122" s="61"/>
      <c r="BM122" s="61"/>
      <c r="BN122" s="61"/>
      <c r="BO122" s="61"/>
      <c r="BP122" s="61"/>
      <c r="BQ122" s="61"/>
      <c r="BR122" s="61"/>
      <c r="BS122" s="61"/>
      <c r="BT122" s="61"/>
      <c r="BU122" s="61"/>
      <c r="BV122" s="61"/>
      <c r="BW122" s="61"/>
      <c r="BX122" s="61"/>
      <c r="BY122" s="61"/>
      <c r="BZ122" s="61"/>
      <c r="CA122" s="61"/>
      <c r="CB122" s="61"/>
      <c r="CC122" s="61"/>
      <c r="CD122" s="61"/>
      <c r="CE122" s="61"/>
      <c r="CF122" s="61"/>
      <c r="CG122" s="61"/>
      <c r="CH122" s="61"/>
      <c r="CI122" s="61"/>
      <c r="CJ122" s="61"/>
      <c r="CK122" s="61"/>
      <c r="CL122" s="61"/>
      <c r="CM122" s="61"/>
      <c r="CN122" s="61"/>
      <c r="CO122" s="61"/>
      <c r="CP122" s="61"/>
      <c r="CQ122" s="61"/>
      <c r="CR122" s="61"/>
      <c r="CS122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1640625" defaultRowHeight="12.5"/>
  <cols>
    <col min="1" max="1" width="5" bestFit="1" customWidth="1"/>
    <col min="2" max="2" width="12.81640625" customWidth="1"/>
  </cols>
  <sheetData>
    <row r="1" spans="1:3">
      <c r="A1" s="59" t="s">
        <v>55</v>
      </c>
    </row>
    <row r="2" spans="1:3">
      <c r="B2" s="60" t="s">
        <v>216</v>
      </c>
      <c r="C2" s="60" t="s">
        <v>483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 ht="13">
      <c r="C6" s="81" t="s">
        <v>233</v>
      </c>
    </row>
    <row r="7" spans="1:3" ht="13">
      <c r="C7" s="62" t="s">
        <v>234</v>
      </c>
    </row>
    <row r="8" spans="1:3">
      <c r="C8" s="60" t="s">
        <v>555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254</v>
      </c>
    </row>
    <row r="13" spans="1:3">
      <c r="C13" s="73" t="s">
        <v>556</v>
      </c>
    </row>
    <row r="14" spans="1:3">
      <c r="C14" s="73" t="s">
        <v>557</v>
      </c>
    </row>
    <row r="15" spans="1:3">
      <c r="C15" s="73" t="s">
        <v>558</v>
      </c>
    </row>
    <row r="16" spans="1:3">
      <c r="C16" s="73" t="s">
        <v>559</v>
      </c>
    </row>
    <row r="17" spans="2:5">
      <c r="C17" s="73"/>
    </row>
    <row r="18" spans="2:5">
      <c r="C18" s="60" t="s">
        <v>266</v>
      </c>
    </row>
    <row r="19" spans="2:5">
      <c r="C19" s="60" t="s">
        <v>364</v>
      </c>
    </row>
    <row r="20" spans="2:5">
      <c r="C20" s="60"/>
    </row>
    <row r="21" spans="2:5">
      <c r="C21" s="80">
        <v>27800</v>
      </c>
      <c r="D21" s="73" t="s">
        <v>550</v>
      </c>
    </row>
    <row r="22" spans="2:5">
      <c r="C22" s="78">
        <f>27800*0.15</f>
        <v>4170</v>
      </c>
      <c r="D22" s="60" t="s">
        <v>551</v>
      </c>
    </row>
    <row r="23" spans="2:5">
      <c r="C23" s="61">
        <f>119832/DKK</f>
        <v>16698.298566113455</v>
      </c>
      <c r="D23" s="79" t="s">
        <v>554</v>
      </c>
    </row>
    <row r="24" spans="2:5">
      <c r="C24" s="61">
        <v>5672</v>
      </c>
      <c r="D24" s="79" t="s">
        <v>553</v>
      </c>
      <c r="E24" s="61"/>
    </row>
    <row r="25" spans="2:5">
      <c r="C25" s="60"/>
      <c r="D25" s="78"/>
      <c r="E25" s="61"/>
    </row>
    <row r="26" spans="2:5">
      <c r="B26" s="60" t="s">
        <v>493</v>
      </c>
      <c r="C26" s="60" t="s">
        <v>552</v>
      </c>
    </row>
    <row r="27" spans="2:5">
      <c r="B27" s="60" t="s">
        <v>223</v>
      </c>
      <c r="C27" s="60" t="s">
        <v>560</v>
      </c>
    </row>
    <row r="28" spans="2:5">
      <c r="B28" s="60" t="s">
        <v>157</v>
      </c>
    </row>
    <row r="29" spans="2:5" ht="13">
      <c r="C29" s="63" t="s">
        <v>280</v>
      </c>
    </row>
    <row r="30" spans="2:5">
      <c r="C30" s="60" t="s">
        <v>325</v>
      </c>
    </row>
    <row r="31" spans="2:5">
      <c r="C31" s="60" t="s">
        <v>527</v>
      </c>
    </row>
    <row r="33" spans="3:8" ht="13">
      <c r="C33" s="63" t="s">
        <v>255</v>
      </c>
    </row>
    <row r="36" spans="3:8" ht="13">
      <c r="C36" s="63" t="s">
        <v>282</v>
      </c>
    </row>
    <row r="37" spans="3:8" ht="13">
      <c r="C37" s="60" t="s">
        <v>281</v>
      </c>
      <c r="H37" s="63"/>
    </row>
    <row r="39" spans="3:8" ht="13">
      <c r="C39" s="63" t="s">
        <v>405</v>
      </c>
    </row>
    <row r="40" spans="3:8">
      <c r="C40" s="60" t="s">
        <v>347</v>
      </c>
    </row>
    <row r="41" spans="3:8">
      <c r="C41" s="60" t="s">
        <v>406</v>
      </c>
    </row>
    <row r="42" spans="3:8">
      <c r="C42" s="73" t="s">
        <v>407</v>
      </c>
    </row>
    <row r="43" spans="3:8">
      <c r="C43" s="60" t="s">
        <v>293</v>
      </c>
    </row>
    <row r="64" spans="3:3" ht="13">
      <c r="C64" s="63" t="s">
        <v>292</v>
      </c>
    </row>
    <row r="65" spans="3:3">
      <c r="C65" s="60" t="s">
        <v>402</v>
      </c>
    </row>
    <row r="66" spans="3:3">
      <c r="C66" s="60" t="s">
        <v>427</v>
      </c>
    </row>
    <row r="69" spans="3:3" ht="13">
      <c r="C69" s="63" t="s">
        <v>510</v>
      </c>
    </row>
    <row r="70" spans="3:3">
      <c r="C70" s="60" t="s">
        <v>516</v>
      </c>
    </row>
    <row r="71" spans="3:3">
      <c r="C71" s="60" t="s">
        <v>517</v>
      </c>
    </row>
    <row r="74" spans="3:3" ht="13">
      <c r="C74" s="63" t="s">
        <v>494</v>
      </c>
    </row>
    <row r="75" spans="3:3">
      <c r="C75" s="60" t="s">
        <v>495</v>
      </c>
    </row>
    <row r="77" spans="3:3" ht="13">
      <c r="C77" s="63" t="s">
        <v>499</v>
      </c>
    </row>
    <row r="78" spans="3:3">
      <c r="C78" s="60" t="s">
        <v>496</v>
      </c>
    </row>
    <row r="79" spans="3:3">
      <c r="C79" s="60" t="s">
        <v>497</v>
      </c>
    </row>
    <row r="80" spans="3:3">
      <c r="C80" s="60" t="s">
        <v>498</v>
      </c>
    </row>
    <row r="82" spans="3:3" ht="13">
      <c r="C82" s="63" t="s">
        <v>500</v>
      </c>
    </row>
    <row r="87" spans="3:3" ht="13">
      <c r="C87" s="63" t="s">
        <v>529</v>
      </c>
    </row>
    <row r="88" spans="3:3">
      <c r="C88" s="60" t="s">
        <v>530</v>
      </c>
    </row>
    <row r="89" spans="3:3">
      <c r="C89" s="60" t="s">
        <v>528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zoomScale="120" zoomScaleNormal="120" workbookViewId="0">
      <selection activeCell="F4" sqref="F4"/>
    </sheetView>
  </sheetViews>
  <sheetFormatPr defaultRowHeight="12.5"/>
  <cols>
    <col min="1" max="1" width="4.7265625" bestFit="1" customWidth="1"/>
    <col min="2" max="2" width="12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493</v>
      </c>
      <c r="C4" s="60" t="s">
        <v>563</v>
      </c>
    </row>
    <row r="5" spans="1:5">
      <c r="B5" s="60"/>
      <c r="C5" s="60" t="s">
        <v>567</v>
      </c>
    </row>
    <row r="6" spans="1:5">
      <c r="B6" s="60"/>
      <c r="C6" s="60"/>
      <c r="D6" s="60" t="s">
        <v>568</v>
      </c>
    </row>
    <row r="7" spans="1:5">
      <c r="B7" s="60" t="s">
        <v>230</v>
      </c>
      <c r="C7" s="60"/>
    </row>
    <row r="8" spans="1:5" ht="13">
      <c r="C8" s="81" t="s">
        <v>233</v>
      </c>
    </row>
    <row r="9" spans="1:5" ht="13">
      <c r="C9" s="81"/>
      <c r="D9" s="60" t="s">
        <v>561</v>
      </c>
    </row>
    <row r="10" spans="1:5" ht="13">
      <c r="C10" s="81"/>
      <c r="D10" s="60"/>
      <c r="E10" s="60" t="s">
        <v>562</v>
      </c>
    </row>
    <row r="11" spans="1:5" ht="13">
      <c r="C11" s="81"/>
      <c r="D11" s="60" t="s">
        <v>565</v>
      </c>
      <c r="E11" s="60"/>
    </row>
    <row r="12" spans="1:5" ht="13">
      <c r="C12" s="62" t="s">
        <v>564</v>
      </c>
    </row>
    <row r="13" spans="1:5">
      <c r="D13" s="60" t="s">
        <v>566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796875" defaultRowHeight="12.5"/>
  <cols>
    <col min="1" max="1" width="5" style="60" bestFit="1" customWidth="1"/>
    <col min="2" max="2" width="12.81640625" style="60" bestFit="1" customWidth="1"/>
    <col min="3" max="16384" width="9.179687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291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380</v>
      </c>
    </row>
    <row r="10" spans="1:3">
      <c r="C10" s="60" t="s">
        <v>444</v>
      </c>
    </row>
    <row r="11" spans="1:3">
      <c r="C11" s="60" t="s">
        <v>502</v>
      </c>
    </row>
    <row r="12" spans="1:3">
      <c r="C12" s="60" t="s">
        <v>539</v>
      </c>
    </row>
    <row r="13" spans="1:3">
      <c r="B13" s="60" t="s">
        <v>230</v>
      </c>
      <c r="C13" s="60" t="s">
        <v>266</v>
      </c>
    </row>
    <row r="14" spans="1:3">
      <c r="B14" s="60" t="s">
        <v>365</v>
      </c>
      <c r="C14" s="60" t="s">
        <v>366</v>
      </c>
    </row>
    <row r="15" spans="1:3">
      <c r="B15" s="60" t="s">
        <v>157</v>
      </c>
    </row>
    <row r="16" spans="1:3" ht="13">
      <c r="C16" s="63" t="s">
        <v>292</v>
      </c>
    </row>
    <row r="17" spans="3:4">
      <c r="C17" s="60" t="s">
        <v>402</v>
      </c>
    </row>
    <row r="18" spans="3:4">
      <c r="C18" s="60" t="s">
        <v>427</v>
      </c>
    </row>
    <row r="21" spans="3:4" ht="13">
      <c r="C21" s="63" t="s">
        <v>405</v>
      </c>
      <c r="D21"/>
    </row>
    <row r="22" spans="3:4">
      <c r="C22" s="60" t="s">
        <v>347</v>
      </c>
      <c r="D22"/>
    </row>
    <row r="23" spans="3:4">
      <c r="C23" s="60" t="s">
        <v>406</v>
      </c>
      <c r="D23"/>
    </row>
    <row r="24" spans="3:4">
      <c r="C24" s="73" t="s">
        <v>407</v>
      </c>
      <c r="D24"/>
    </row>
    <row r="25" spans="3:4">
      <c r="C25" s="60" t="s">
        <v>445</v>
      </c>
      <c r="D25"/>
    </row>
    <row r="27" spans="3:4" ht="13">
      <c r="C27" s="63" t="s">
        <v>345</v>
      </c>
    </row>
    <row r="28" spans="3:4">
      <c r="C28" s="60" t="s">
        <v>344</v>
      </c>
    </row>
    <row r="29" spans="3:4">
      <c r="C29" s="60" t="s">
        <v>346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53125" defaultRowHeight="12.5"/>
  <cols>
    <col min="1" max="1" width="4.81640625" bestFit="1" customWidth="1"/>
    <col min="2" max="2" width="12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486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273</v>
      </c>
    </row>
    <row r="6" spans="1:3">
      <c r="B6" s="60" t="s">
        <v>338</v>
      </c>
      <c r="C6" s="60" t="s">
        <v>339</v>
      </c>
    </row>
    <row r="7" spans="1:3">
      <c r="B7" s="60" t="s">
        <v>323</v>
      </c>
      <c r="C7" s="60" t="s">
        <v>467</v>
      </c>
    </row>
    <row r="8" spans="1:3">
      <c r="B8" s="60"/>
      <c r="C8" s="60" t="s">
        <v>466</v>
      </c>
    </row>
    <row r="9" spans="1:3">
      <c r="B9" s="60" t="s">
        <v>157</v>
      </c>
    </row>
    <row r="10" spans="1:3" ht="13">
      <c r="C10" s="63" t="s">
        <v>446</v>
      </c>
    </row>
    <row r="11" spans="1:3">
      <c r="C11" s="60" t="s">
        <v>447</v>
      </c>
    </row>
    <row r="12" spans="1:3">
      <c r="C12" s="60" t="s">
        <v>448</v>
      </c>
    </row>
    <row r="14" spans="1:3" ht="13">
      <c r="C14" s="63" t="s">
        <v>322</v>
      </c>
    </row>
    <row r="15" spans="1:3">
      <c r="C15" s="60"/>
    </row>
    <row r="16" spans="1:3">
      <c r="C16" s="60"/>
    </row>
    <row r="17" spans="3:3" ht="13">
      <c r="C17" s="63" t="s">
        <v>367</v>
      </c>
    </row>
    <row r="18" spans="3:3">
      <c r="C18" s="60" t="s">
        <v>376</v>
      </c>
    </row>
    <row r="19" spans="3:3">
      <c r="C19" s="60"/>
    </row>
    <row r="20" spans="3:3">
      <c r="C20" s="60"/>
    </row>
    <row r="21" spans="3:3" ht="13">
      <c r="C21" s="63" t="s">
        <v>403</v>
      </c>
    </row>
    <row r="22" spans="3:3">
      <c r="C22" s="60" t="s">
        <v>404</v>
      </c>
    </row>
    <row r="25" spans="3:3" ht="13">
      <c r="C25" s="63" t="s">
        <v>531</v>
      </c>
    </row>
    <row r="26" spans="3:3">
      <c r="C26" s="60" t="s">
        <v>532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53125" defaultRowHeight="12.5"/>
  <cols>
    <col min="1" max="1" width="4.81640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328</v>
      </c>
    </row>
    <row r="3" spans="1:3">
      <c r="B3" s="60" t="s">
        <v>217</v>
      </c>
      <c r="C3" s="60" t="s">
        <v>505</v>
      </c>
    </row>
    <row r="4" spans="1:3">
      <c r="B4" s="60" t="s">
        <v>5</v>
      </c>
      <c r="C4" s="60" t="s">
        <v>506</v>
      </c>
    </row>
    <row r="5" spans="1:3">
      <c r="B5" s="60" t="s">
        <v>157</v>
      </c>
    </row>
    <row r="6" spans="1:3" ht="13">
      <c r="C6" s="63" t="s">
        <v>507</v>
      </c>
    </row>
    <row r="7" spans="1:3">
      <c r="C7" s="60" t="s">
        <v>508</v>
      </c>
    </row>
    <row r="8" spans="1:3">
      <c r="C8" s="60" t="s">
        <v>509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796875" defaultRowHeight="12.5"/>
  <cols>
    <col min="1" max="1" width="5" style="60" bestFit="1" customWidth="1"/>
    <col min="2" max="16384" width="9.179687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2025-12-01T17:44:25Z</dcterms:modified>
  <cp:category/>
  <cp:contentStatus/>
</cp:coreProperties>
</file>